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240" yWindow="90" windowWidth="24795" windowHeight="12210"/>
  </bookViews>
  <sheets>
    <sheet name="Tableau 11 Immo, amo, dépréciat" sheetId="1" r:id="rId1"/>
    <sheet name="Donnees" sheetId="2" r:id="rId2"/>
  </sheets>
  <definedNames>
    <definedName name="_xlnm.Print_Area" localSheetId="0">'Tableau 11 Immo, amo, dépréciat'!$B$2:$H$59</definedName>
  </definedNames>
  <calcPr calcId="152511"/>
</workbook>
</file>

<file path=xl/calcChain.xml><?xml version="1.0" encoding="utf-8"?>
<calcChain xmlns="http://schemas.openxmlformats.org/spreadsheetml/2006/main">
  <c r="F4" i="2" l="1"/>
  <c r="H1" i="1" l="1"/>
  <c r="C45" i="1" l="1"/>
  <c r="G36" i="1"/>
  <c r="F36" i="1"/>
  <c r="E36" i="1"/>
  <c r="D36" i="1"/>
  <c r="C36" i="1"/>
  <c r="H36" i="1" l="1"/>
  <c r="D4" i="2"/>
  <c r="B4" i="2"/>
  <c r="C58" i="1"/>
  <c r="C57" i="1"/>
  <c r="C56" i="1"/>
  <c r="C55" i="1"/>
  <c r="C54" i="1"/>
  <c r="C53" i="1"/>
  <c r="C52" i="1"/>
  <c r="C51" i="1"/>
  <c r="C49" i="1"/>
  <c r="C48" i="1"/>
  <c r="C47" i="1"/>
  <c r="C46" i="1"/>
  <c r="C44" i="1"/>
  <c r="C42" i="1"/>
  <c r="C41" i="1"/>
  <c r="C40" i="1"/>
  <c r="C39" i="1"/>
  <c r="C38" i="1"/>
  <c r="C34" i="1"/>
  <c r="C33" i="1"/>
  <c r="C32" i="1"/>
  <c r="C31" i="1"/>
  <c r="C30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49" i="1"/>
  <c r="F49" i="1"/>
  <c r="G48" i="1"/>
  <c r="F48" i="1"/>
  <c r="G47" i="1"/>
  <c r="F47" i="1"/>
  <c r="G46" i="1"/>
  <c r="F46" i="1"/>
  <c r="G44" i="1"/>
  <c r="F44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4" i="1"/>
  <c r="F34" i="1"/>
  <c r="G33" i="1"/>
  <c r="F33" i="1"/>
  <c r="G32" i="1"/>
  <c r="F32" i="1"/>
  <c r="G31" i="1"/>
  <c r="F31" i="1"/>
  <c r="G30" i="1"/>
  <c r="F30" i="1"/>
  <c r="F29" i="1" s="1"/>
  <c r="G28" i="1"/>
  <c r="F28" i="1"/>
  <c r="E28" i="1"/>
  <c r="D28" i="1"/>
  <c r="G27" i="1"/>
  <c r="F27" i="1"/>
  <c r="E27" i="1"/>
  <c r="D27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F17" i="1" s="1"/>
  <c r="E18" i="1"/>
  <c r="D18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G10" i="1" s="1"/>
  <c r="F11" i="1"/>
  <c r="E11" i="1"/>
  <c r="D11" i="1"/>
  <c r="E1" i="2"/>
  <c r="G9" i="1" s="1"/>
  <c r="E3" i="2"/>
  <c r="C3" i="2"/>
  <c r="B3" i="2"/>
  <c r="E2" i="2"/>
  <c r="C2" i="2"/>
  <c r="B2" i="2"/>
  <c r="C1" i="2"/>
  <c r="B2" i="1" s="1"/>
  <c r="B1" i="2"/>
  <c r="G50" i="1"/>
  <c r="F37" i="1"/>
  <c r="H35" i="1"/>
  <c r="G35" i="1"/>
  <c r="F35" i="1"/>
  <c r="E35" i="1"/>
  <c r="D35" i="1"/>
  <c r="C35" i="1"/>
  <c r="F26" i="1"/>
  <c r="H9" i="1"/>
  <c r="D9" i="1"/>
  <c r="F9" i="1" l="1"/>
  <c r="C10" i="1"/>
  <c r="E9" i="1"/>
  <c r="G43" i="1"/>
  <c r="G29" i="1"/>
  <c r="G26" i="1"/>
  <c r="G17" i="1"/>
  <c r="F50" i="1"/>
  <c r="F43" i="1"/>
  <c r="F10" i="1"/>
  <c r="E50" i="1"/>
  <c r="E43" i="1"/>
  <c r="H44" i="1"/>
  <c r="E29" i="1"/>
  <c r="E26" i="1"/>
  <c r="E17" i="1"/>
  <c r="E10" i="1"/>
  <c r="D50" i="1"/>
  <c r="D43" i="1"/>
  <c r="D37" i="1"/>
  <c r="D26" i="1"/>
  <c r="D17" i="1"/>
  <c r="D10" i="1"/>
  <c r="C50" i="1"/>
  <c r="H47" i="1"/>
  <c r="H15" i="1"/>
  <c r="H18" i="1"/>
  <c r="C26" i="1"/>
  <c r="D29" i="1"/>
  <c r="H38" i="1"/>
  <c r="E37" i="1"/>
  <c r="G37" i="1"/>
  <c r="H40" i="1"/>
  <c r="H42" i="1"/>
  <c r="H54" i="1"/>
  <c r="H56" i="1"/>
  <c r="H58" i="1"/>
  <c r="H49" i="1"/>
  <c r="H52" i="1"/>
  <c r="H28" i="1"/>
  <c r="H11" i="1"/>
  <c r="H13" i="1"/>
  <c r="H20" i="1"/>
  <c r="H22" i="1"/>
  <c r="H24" i="1"/>
  <c r="H30" i="1"/>
  <c r="H32" i="1"/>
  <c r="H34" i="1"/>
  <c r="H51" i="1"/>
  <c r="H53" i="1"/>
  <c r="H55" i="1"/>
  <c r="H12" i="1"/>
  <c r="H14" i="1"/>
  <c r="H16" i="1"/>
  <c r="H19" i="1"/>
  <c r="H21" i="1"/>
  <c r="H23" i="1"/>
  <c r="H25" i="1"/>
  <c r="H27" i="1"/>
  <c r="C29" i="1"/>
  <c r="H31" i="1"/>
  <c r="H33" i="1"/>
  <c r="C37" i="1"/>
  <c r="H39" i="1"/>
  <c r="H41" i="1"/>
  <c r="C43" i="1"/>
  <c r="H46" i="1"/>
  <c r="H48" i="1"/>
  <c r="H57" i="1"/>
  <c r="C17" i="1"/>
  <c r="G59" i="1" l="1"/>
  <c r="D59" i="1"/>
  <c r="F59" i="1"/>
  <c r="H10" i="1"/>
  <c r="H29" i="1"/>
  <c r="H26" i="1"/>
  <c r="H50" i="1"/>
  <c r="H37" i="1"/>
  <c r="E59" i="1"/>
  <c r="H17" i="1"/>
  <c r="C59" i="1"/>
  <c r="H43" i="1"/>
  <c r="H59" i="1" l="1"/>
</calcChain>
</file>

<file path=xl/sharedStrings.xml><?xml version="1.0" encoding="utf-8"?>
<sst xmlns="http://schemas.openxmlformats.org/spreadsheetml/2006/main" count="373" uniqueCount="142">
  <si>
    <t>POUR INFORMATION DE L'ORGANE DÉLIBÉRANT</t>
  </si>
  <si>
    <t>Description de l'immobilisation</t>
  </si>
  <si>
    <t>I - Immobilisations incorporelles</t>
  </si>
  <si>
    <t>II - Immobilisations corporelles</t>
  </si>
  <si>
    <t>Dotations aux amortissements</t>
  </si>
  <si>
    <t>Dépréciation</t>
  </si>
  <si>
    <t>Frais d'établissement</t>
  </si>
  <si>
    <t>Frais d'études, de recherche et de développement</t>
  </si>
  <si>
    <t>Concessions et droits similaires, brevets, licences</t>
  </si>
  <si>
    <t>Droit au bail</t>
  </si>
  <si>
    <t>Fonds commercial</t>
  </si>
  <si>
    <t>Autres immobilisations corporelles</t>
  </si>
  <si>
    <t>Agencements et aménagements de terrain</t>
  </si>
  <si>
    <t>Conctructions</t>
  </si>
  <si>
    <t>Constructions sur sol d'autrui</t>
  </si>
  <si>
    <t>Installations techniques, matériel et outillage</t>
  </si>
  <si>
    <t>Collections</t>
  </si>
  <si>
    <t>Biens historiques et culturels</t>
  </si>
  <si>
    <t>Autres immobilisations incorporelles</t>
  </si>
  <si>
    <t>III - Immobilisations grévées de droit</t>
  </si>
  <si>
    <t>Immobilisations grévées de droit</t>
  </si>
  <si>
    <t>Droits des propriétaires</t>
  </si>
  <si>
    <t>IV - Immobilisations en cours</t>
  </si>
  <si>
    <t>Immobilisations incorporelles en cours</t>
  </si>
  <si>
    <t>Immobilisations corporelles en cours (hors biens vivants)</t>
  </si>
  <si>
    <t>Immobilisations corporelles en cours ( biens vivants)</t>
  </si>
  <si>
    <t>Avances et acomptes versés sur commandes d'immobilisations corporelles</t>
  </si>
  <si>
    <t>Avances et acomptes versés sur commandes d'immobilisations incorporelles</t>
  </si>
  <si>
    <t>V - Immobilisations mises en concession</t>
  </si>
  <si>
    <t>VI - Immobilisations corporelles (biens vivants)</t>
  </si>
  <si>
    <t>Animaux reproducteurs (jeunes)</t>
  </si>
  <si>
    <t>Animaux reproducteurs (adultes)</t>
  </si>
  <si>
    <t>Animaux de service</t>
  </si>
  <si>
    <t>Plantations pérennes</t>
  </si>
  <si>
    <t>Autres végétaux immobilisés</t>
  </si>
  <si>
    <t xml:space="preserve">VII - Participations et créances rattachées </t>
  </si>
  <si>
    <t>Titres de particpation</t>
  </si>
  <si>
    <t>Autres formes de participation</t>
  </si>
  <si>
    <t>Créances rattachées à des participations</t>
  </si>
  <si>
    <t>Créances rattachées à des sociétés en participation</t>
  </si>
  <si>
    <t>Versement à effectuer sur titre de participation</t>
  </si>
  <si>
    <t>VIII - Autres immobilisations financières</t>
  </si>
  <si>
    <t>Titres immobilisés autres que les titres de l'activité de portefeuille</t>
  </si>
  <si>
    <t>Titres immobilisés (droit de créance)</t>
  </si>
  <si>
    <t>Titres immobilisés de l'éctivité de portefeuille</t>
  </si>
  <si>
    <t>Prêts</t>
  </si>
  <si>
    <t>Dépôts et cautionnements versés</t>
  </si>
  <si>
    <t>Autres créances immobilisées</t>
  </si>
  <si>
    <t>Actions propres ou parts propres</t>
  </si>
  <si>
    <t>Versements restant à effectuer sur titres immobilisés</t>
  </si>
  <si>
    <t>Total</t>
  </si>
  <si>
    <t>Terrains</t>
  </si>
  <si>
    <t>Tableau 11 : Immobilisations, amortissements et dépréciations</t>
  </si>
  <si>
    <t>Immobilisations mises en concession</t>
  </si>
  <si>
    <t>Parts dans des entreprises liées et créances sur des entreprises liées (filiale)</t>
  </si>
  <si>
    <t>Valeur brute (ou 
valeur d'acquisition)</t>
  </si>
  <si>
    <t>Valeur nette prévue 
au bilan de clôture</t>
  </si>
  <si>
    <t>Etablissement :</t>
  </si>
  <si>
    <t>CGR :</t>
  </si>
  <si>
    <t>Poste :</t>
  </si>
  <si>
    <t>Job :</t>
  </si>
  <si>
    <t>Année de l'exercice :</t>
  </si>
  <si>
    <t>Chemin :</t>
  </si>
  <si>
    <t>Utilisateur :</t>
  </si>
  <si>
    <t>Date :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</si>
  <si>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</si>
  <si>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</si>
  <si>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</si>
  <si>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</si>
  <si>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</si>
  <si>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</si>
  <si>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</si>
  <si>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</si>
  <si>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</si>
  <si>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</si>
  <si>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Etablissement</t>
  </si>
  <si>
    <t>Intitulé</t>
  </si>
  <si>
    <t>Année de l'exercice</t>
  </si>
  <si>
    <t>CGR</t>
  </si>
  <si>
    <t>Chemin</t>
  </si>
  <si>
    <t>Job</t>
  </si>
  <si>
    <t>Utilisateur</t>
  </si>
  <si>
    <t>Date</t>
  </si>
  <si>
    <t>V1</t>
  </si>
  <si>
    <t>B2</t>
  </si>
  <si>
    <t>201</t>
  </si>
  <si>
    <t>20</t>
  </si>
  <si>
    <t>INDPUB</t>
  </si>
  <si>
    <t>Qualiac développement</t>
  </si>
  <si>
    <t>2015</t>
  </si>
  <si>
    <t>ETB</t>
  </si>
  <si>
    <t>Etablissement Ordonateur Principal</t>
  </si>
  <si>
    <t>OR</t>
  </si>
  <si>
    <t>2</t>
  </si>
  <si>
    <t>COMPTES D'IMMOBILISATIONS</t>
  </si>
  <si>
    <t>TF</t>
  </si>
  <si>
    <t>198578</t>
  </si>
  <si>
    <t>PRPUB</t>
  </si>
  <si>
    <t>203</t>
  </si>
  <si>
    <t>211</t>
  </si>
  <si>
    <t>21</t>
  </si>
  <si>
    <t>213</t>
  </si>
  <si>
    <t>231</t>
  </si>
  <si>
    <t>23</t>
  </si>
  <si>
    <t>237</t>
  </si>
  <si>
    <t>261</t>
  </si>
  <si>
    <t>26</t>
  </si>
  <si>
    <t>267</t>
  </si>
  <si>
    <t>272</t>
  </si>
  <si>
    <t>27</t>
  </si>
  <si>
    <t>2801</t>
  </si>
  <si>
    <t>28</t>
  </si>
  <si>
    <t>280</t>
  </si>
  <si>
    <t>2803</t>
  </si>
  <si>
    <t>2806</t>
  </si>
  <si>
    <t>2811</t>
  </si>
  <si>
    <t>2813</t>
  </si>
  <si>
    <t>2901</t>
  </si>
  <si>
    <t>29</t>
  </si>
  <si>
    <t>290</t>
  </si>
  <si>
    <t>2903</t>
  </si>
  <si>
    <t>2906</t>
  </si>
  <si>
    <t>2911</t>
  </si>
  <si>
    <t>291</t>
  </si>
  <si>
    <t>2913</t>
  </si>
  <si>
    <t>2931</t>
  </si>
  <si>
    <t>293</t>
  </si>
  <si>
    <t>2961</t>
  </si>
  <si>
    <t>296</t>
  </si>
  <si>
    <t>2967</t>
  </si>
  <si>
    <t>2972</t>
  </si>
  <si>
    <t>297</t>
  </si>
  <si>
    <t>V2</t>
  </si>
  <si>
    <t>B1</t>
  </si>
  <si>
    <t>206</t>
  </si>
  <si>
    <t>220</t>
  </si>
  <si>
    <t>22</t>
  </si>
  <si>
    <t>2820</t>
  </si>
  <si>
    <t>282</t>
  </si>
  <si>
    <t>2920</t>
  </si>
  <si>
    <t>292</t>
  </si>
  <si>
    <t>06/08/2015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</si>
</sst>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45066682943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0" borderId="0" xfId="0" applyFont="1"/>
    <xf numFmtId="0" fontId="0" fillId="0" borderId="13" xfId="0" applyFont="1" applyBorder="1" applyAlignment="1">
      <alignment vertical="center" wrapText="1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5" xfId="0" applyFont="1" applyFill="1" applyBorder="1"/>
    <xf numFmtId="0" fontId="0" fillId="2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vertical="center" wrapText="1"/>
    </xf>
    <xf numFmtId="4" fontId="3" fillId="3" borderId="19" xfId="0" applyNumberFormat="1" applyFont="1" applyFill="1" applyBorder="1" applyAlignment="1">
      <alignment vertical="center"/>
    </xf>
    <xf numFmtId="4" fontId="3" fillId="3" borderId="20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/>
    </xf>
    <xf numFmtId="4" fontId="3" fillId="3" borderId="14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 wrapText="1"/>
    </xf>
    <xf numFmtId="4" fontId="3" fillId="3" borderId="16" xfId="0" applyNumberFormat="1" applyFont="1" applyFill="1" applyBorder="1" applyAlignment="1">
      <alignment vertical="center"/>
    </xf>
    <xf numFmtId="4" fontId="3" fillId="3" borderId="17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"/>
  <sheetViews>
    <sheetView showGridLines="0" showZeros="0" tabSelected="1" zoomScaleNormal="100" workbookViewId="0"/>
  </sheetViews>
  <sheetFormatPr baseColWidth="10" defaultRowHeight="15" x14ac:dyDescent="0.25"/>
  <cols>
    <col min="1" max="1" width="3.28515625" style="5" customWidth="1"/>
    <col min="2" max="2" width="74" style="5" bestFit="1" customWidth="1"/>
    <col min="3" max="8" width="20.7109375" style="5" customWidth="1"/>
    <col min="9" max="16384" width="11.42578125" style="5"/>
  </cols>
  <sheetData>
    <row r="1" spans="2:8" ht="15" customHeight="1" x14ac:dyDescent="0.25">
      <c r="H1" s="28" t="str">
        <f>CONCATENATE("Edité au : ",Donnees!F4)</f>
        <v>Edité au : 06/08/2015</v>
      </c>
    </row>
    <row r="2" spans="2:8" ht="15" customHeight="1" x14ac:dyDescent="0.25">
      <c r="B2" s="32" t="str">
        <f>Donnees!C1</f>
        <v>Qualiac développement</v>
      </c>
      <c r="C2" s="32"/>
      <c r="D2" s="32"/>
      <c r="E2" s="32"/>
      <c r="F2" s="32"/>
      <c r="G2" s="32"/>
      <c r="H2" s="32"/>
    </row>
    <row r="3" spans="2:8" ht="15" customHeight="1" x14ac:dyDescent="0.25">
      <c r="B3" s="10"/>
      <c r="C3" s="10"/>
      <c r="D3" s="10"/>
      <c r="E3" s="10"/>
      <c r="F3" s="10"/>
      <c r="G3" s="10"/>
      <c r="H3" s="10"/>
    </row>
    <row r="4" spans="2:8" ht="15" customHeight="1" x14ac:dyDescent="0.25">
      <c r="B4" s="32" t="s">
        <v>52</v>
      </c>
      <c r="C4" s="32"/>
      <c r="D4" s="32"/>
      <c r="E4" s="32"/>
      <c r="F4" s="32"/>
      <c r="G4" s="32"/>
      <c r="H4" s="32"/>
    </row>
    <row r="5" spans="2:8" ht="15" customHeight="1" x14ac:dyDescent="0.25">
      <c r="B5" s="11"/>
      <c r="C5" s="11"/>
      <c r="D5" s="11"/>
      <c r="E5" s="11"/>
      <c r="F5" s="11"/>
      <c r="G5" s="11"/>
      <c r="H5" s="11"/>
    </row>
    <row r="6" spans="2:8" ht="15" customHeight="1" x14ac:dyDescent="0.25">
      <c r="B6" s="35" t="s">
        <v>0</v>
      </c>
      <c r="C6" s="36"/>
      <c r="D6" s="36"/>
      <c r="E6" s="36"/>
      <c r="F6" s="36"/>
      <c r="G6" s="36"/>
      <c r="H6" s="37"/>
    </row>
    <row r="7" spans="2:8" ht="15" customHeight="1" thickBot="1" x14ac:dyDescent="0.3"/>
    <row r="8" spans="2:8" ht="30" x14ac:dyDescent="0.25">
      <c r="B8" s="12" t="s">
        <v>1</v>
      </c>
      <c r="C8" s="13" t="s">
        <v>55</v>
      </c>
      <c r="D8" s="33" t="s">
        <v>4</v>
      </c>
      <c r="E8" s="34"/>
      <c r="F8" s="33" t="s">
        <v>5</v>
      </c>
      <c r="G8" s="34"/>
      <c r="H8" s="14" t="s">
        <v>56</v>
      </c>
    </row>
    <row r="9" spans="2:8" ht="60.75" thickBot="1" x14ac:dyDescent="0.3">
      <c r="B9" s="15"/>
      <c r="C9" s="16"/>
      <c r="D9" s="17" t="str">
        <f>CONCATENATE("Cumul des
amortissements
antérieurs
(années 0 à ",Donnees!$E$1-1,")")</f>
        <v>Cumul des
amortissements
antérieurs
(années 0 à 2014)</v>
      </c>
      <c r="E9" s="17" t="str">
        <f>CONCATENATE("Dotation aux
amortissements
prévue en BI
(année ",Donnees!$E$1,")")</f>
        <v>Dotation aux
amortissements
prévue en BI
(année 2015)</v>
      </c>
      <c r="F9" s="17" t="str">
        <f>CONCATENATE("Cumul des
dépréciations
antérieures
(année 0 à ",Donnees!$E$1-1,")")</f>
        <v>Cumul des
dépréciations
antérieures
(année 0 à 2014)</v>
      </c>
      <c r="G9" s="17" t="str">
        <f>CONCATENATE("Dépréciations
prévues au BI
(année ",Donnees!$E$1,")")</f>
        <v>Dépréciations
prévues au BI
(année 2015)</v>
      </c>
      <c r="H9" s="18" t="str">
        <f>CONCATENATE("
(année ",Donnees!$E$1,")")</f>
        <v xml:space="preserve">
(année 2015)</v>
      </c>
    </row>
    <row r="10" spans="2:8" ht="15" customHeight="1" x14ac:dyDescent="0.25">
      <c r="B10" s="19" t="s">
        <v>2</v>
      </c>
      <c r="C10" s="20">
        <f t="shared" ref="C10:H10" si="0">SUM(C11:C16)</f>
        <v>264000</v>
      </c>
      <c r="D10" s="20">
        <f t="shared" si="0"/>
        <v>70740</v>
      </c>
      <c r="E10" s="20">
        <f t="shared" si="0"/>
        <v>20960</v>
      </c>
      <c r="F10" s="20">
        <f t="shared" si="0"/>
        <v>24890</v>
      </c>
      <c r="G10" s="20">
        <f t="shared" si="0"/>
        <v>14190</v>
      </c>
      <c r="H10" s="21">
        <f t="shared" si="0"/>
        <v>133220</v>
      </c>
    </row>
    <row r="11" spans="2:8" ht="15" customHeight="1" x14ac:dyDescent="0.25">
      <c r="B11" s="6" t="s">
        <v>6</v>
      </c>
      <c r="C11" s="7">
        <f>+SUMIFS(Donnees!$I$6:$I$1000000,Donnees!$B$6:$B$1000000,"B1",Donnees!$E$6:$E$1000000,"201")-SUMIFS(Donnees!$J$6:$J$1000000,Donnees!$B$6:$B$1000000,"B1",Donnees!$E$6:$E$1000000,"201")</f>
        <v>104000</v>
      </c>
      <c r="D11" s="7">
        <f>+SUMIFS(Donnees!$J$6:$J$1000000,Donnees!$B$6:$B$1000000,"B1",Donnees!$F$6:$F$1000000,"2801")-SUMIFS(Donnees!$I$6:$I$1000000,Donnees!$B$6:$B$1000000,"B1",Donnees!$F$6:$F$1000000,"2801")</f>
        <v>14780</v>
      </c>
      <c r="E11" s="7">
        <f>+SUMIFS(Donnees!$J$6:$J$1000000,Donnees!$B$6:$B$1000000,"B2",Donnees!$F$6:$F$1000000,"2801")-SUMIFS(Donnees!$I$6:$I$1000000,Donnees!$B$6:$B$1000000,"B2",Donnees!$F$6:$F$1000000,"2801")</f>
        <v>10000</v>
      </c>
      <c r="F11" s="7">
        <f>+SUMIFS(Donnees!$J$6:$J$1000000,Donnees!$B$6:$B$1000000,"B1",Donnees!$F$6:$F$1000000,"2901")-SUMIFS(Donnees!$I$6:$I$1000000,Donnees!$B$6:$B$1000000,"B1",Donnees!$F$6:$F$1000000,"2901")</f>
        <v>7000</v>
      </c>
      <c r="G11" s="7">
        <f>+SUMIFS(Donnees!$J$6:$J$1000000,Donnees!$B$6:$B$1000000,"B2",Donnees!$F$6:$F$1000000,"2901")-SUMIFS(Donnees!$I$6:$I$1000000,Donnees!$B$6:$B$1000000,"B2",Donnees!$F$6:$F$1000000,"2901")</f>
        <v>4000</v>
      </c>
      <c r="H11" s="8">
        <f t="shared" ref="H11:H16" si="1">+C11-D11-E11-F11-G11</f>
        <v>68220</v>
      </c>
    </row>
    <row r="12" spans="2:8" ht="15" customHeight="1" x14ac:dyDescent="0.25">
      <c r="B12" s="6" t="s">
        <v>7</v>
      </c>
      <c r="C12" s="7">
        <f>+SUMIFS(Donnees!$I$6:$I$1000000,Donnees!$B$6:$B$1000000,"B1",Donnees!$E$6:$E$1000000,"203")-SUMIFS(Donnees!$J$6:$J$1000000,Donnees!$B$6:$B$1000000,"B1",Donnees!$E$6:$E$1000000,"203")</f>
        <v>120000</v>
      </c>
      <c r="D12" s="7">
        <f>+SUMIFS(Donnees!$J$6:$J$1000000,Donnees!$B$6:$B$1000000,"B1",Donnees!$F$6:$F$1000000,"2803")-SUMIFS(Donnees!$I$6:$I$1000000,Donnees!$B$6:$B$1000000,"B1",Donnees!$F$6:$F$1000000,"2803")</f>
        <v>54000</v>
      </c>
      <c r="E12" s="7">
        <f>+SUMIFS(Donnees!$J$6:$J$1000000,Donnees!$B$6:$B$1000000,"B2",Donnees!$F$6:$F$1000000,"2803")-SUMIFS(Donnees!$I$6:$I$1000000,Donnees!$B$6:$B$1000000,"B2",Donnees!$F$6:$F$1000000,"2803")</f>
        <v>2000</v>
      </c>
      <c r="F12" s="7">
        <f>+SUMIFS(Donnees!$J$6:$J$1000000,Donnees!$B$6:$B$1000000,"B1",Donnees!$F$6:$F$1000000,"2903")-SUMIFS(Donnees!$I$6:$I$1000000,Donnees!$B$6:$B$1000000,"B1",Donnees!$F$6:$F$1000000,"2903")</f>
        <v>5890</v>
      </c>
      <c r="G12" s="7">
        <f>+SUMIFS(Donnees!$J$6:$J$1000000,Donnees!$B$6:$B$1000000,"B2",Donnees!$F$6:$F$1000000,"2903")-SUMIFS(Donnees!$I$6:$I$1000000,Donnees!$B$6:$B$1000000,"B2",Donnees!$F$6:$F$1000000,"2903")</f>
        <v>1290</v>
      </c>
      <c r="H12" s="8">
        <f t="shared" si="1"/>
        <v>56820</v>
      </c>
    </row>
    <row r="13" spans="2:8" ht="15" customHeight="1" x14ac:dyDescent="0.25">
      <c r="B13" s="6" t="s">
        <v>8</v>
      </c>
      <c r="C13" s="7">
        <f>+SUMIFS(Donnees!$I$6:$I$1000000,Donnees!$B$6:$B$1000000,"B1",Donnees!$E$6:$E$1000000,"205")-SUMIFS(Donnees!$J$6:$J$1000000,Donnees!$B$6:$B$1000000,"B1",Donnees!$E$6:$E$1000000,"205")</f>
        <v>0</v>
      </c>
      <c r="D13" s="7">
        <f>+SUMIFS(Donnees!$J$6:$J$1000000,Donnees!$B$6:$B$1000000,"B1",Donnees!$F$6:$F$1000000,"2805")-SUMIFS(Donnees!$I$6:$I$1000000,Donnees!$B$6:$B$1000000,"B1",Donnees!$F$6:$F$1000000,"2805")</f>
        <v>0</v>
      </c>
      <c r="E13" s="7">
        <f>+SUMIFS(Donnees!$J$6:$J$1000000,Donnees!$B$6:$B$1000000,"B2",Donnees!$F$6:$F$1000000,"2805")-SUMIFS(Donnees!$I$6:$I$1000000,Donnees!$B$6:$B$1000000,"B2",Donnees!$F$6:$F$1000000,"2805")</f>
        <v>0</v>
      </c>
      <c r="F13" s="7">
        <f>+SUMIFS(Donnees!$J$6:$J$1000000,Donnees!$B$6:$B$1000000,"B1",Donnees!$F$6:$F$1000000,"2905")-SUMIFS(Donnees!$I$6:$I$1000000,Donnees!$B$6:$B$1000000,"B1",Donnees!$F$6:$F$1000000,"2905")</f>
        <v>0</v>
      </c>
      <c r="G13" s="7">
        <f>+SUMIFS(Donnees!$J$6:$J$1000000,Donnees!$B$6:$B$1000000,"B2",Donnees!$F$6:$F$1000000,"2905")-SUMIFS(Donnees!$I$6:$I$1000000,Donnees!$B$6:$B$1000000,"B2",Donnees!$F$6:$F$1000000,"2905")</f>
        <v>0</v>
      </c>
      <c r="H13" s="8">
        <f t="shared" si="1"/>
        <v>0</v>
      </c>
    </row>
    <row r="14" spans="2:8" ht="15" customHeight="1" x14ac:dyDescent="0.25">
      <c r="B14" s="6" t="s">
        <v>9</v>
      </c>
      <c r="C14" s="7">
        <f>+SUMIFS(Donnees!$I$6:$I$1000000,Donnees!$B$6:$B$1000000,"B1",Donnees!$E$6:$E$1000000,"206")-SUMIFS(Donnees!$J$6:$J$1000000,Donnees!$B$6:$B$1000000,"B1",Donnees!$E$6:$E$1000000,"206")</f>
        <v>40000</v>
      </c>
      <c r="D14" s="7">
        <f>+SUMIFS(Donnees!$J$6:$J$1000000,Donnees!$B$6:$B$1000000,"B1",Donnees!$F$6:$F$1000000,"2806")-SUMIFS(Donnees!$I$6:$I$1000000,Donnees!$B$6:$B$1000000,"B1",Donnees!$F$6:$F$1000000,"2806")</f>
        <v>1960</v>
      </c>
      <c r="E14" s="7">
        <f>+SUMIFS(Donnees!$J$6:$J$1000000,Donnees!$B$6:$B$1000000,"B2",Donnees!$F$6:$F$1000000,"2806")-SUMIFS(Donnees!$I$6:$I$1000000,Donnees!$B$6:$B$1000000,"B2",Donnees!$F$6:$F$1000000,"2806")</f>
        <v>8960</v>
      </c>
      <c r="F14" s="7">
        <f>+SUMIFS(Donnees!$J$6:$J$1000000,Donnees!$B$6:$B$1000000,"B1",Donnees!$F$6:$F$1000000,"2906")-SUMIFS(Donnees!$I$6:$I$1000000,Donnees!$B$6:$B$1000000,"B1",Donnees!$F$6:$F$1000000,"2906")</f>
        <v>12000</v>
      </c>
      <c r="G14" s="7">
        <f>+SUMIFS(Donnees!$J$6:$J$1000000,Donnees!$B$6:$B$1000000,"B2",Donnees!$F$6:$F$1000000,"2906")-SUMIFS(Donnees!$I$6:$I$1000000,Donnees!$B$6:$B$1000000,"B2",Donnees!$F$6:$F$1000000,"2906")</f>
        <v>8900</v>
      </c>
      <c r="H14" s="8">
        <f t="shared" si="1"/>
        <v>8180</v>
      </c>
    </row>
    <row r="15" spans="2:8" ht="15" customHeight="1" x14ac:dyDescent="0.25">
      <c r="B15" s="6" t="s">
        <v>10</v>
      </c>
      <c r="C15" s="7">
        <f>+SUMIFS(Donnees!$I$6:$I$1000000,Donnees!$B$6:$B$1000000,"B1",Donnees!$E$6:$E$1000000,"207")-SUMIFS(Donnees!$J$6:$J$1000000,Donnees!$B$6:$B$1000000,"B1",Donnees!$E$6:$E$1000000,"207")</f>
        <v>0</v>
      </c>
      <c r="D15" s="7">
        <f>+SUMIFS(Donnees!$J$6:$J$1000000,Donnees!$B$6:$B$1000000,"B1",Donnees!$F$6:$F$1000000,"2807")-SUMIFS(Donnees!$I$6:$I$1000000,Donnees!$B$6:$B$1000000,"B1",Donnees!$F$6:$F$1000000,"2807")</f>
        <v>0</v>
      </c>
      <c r="E15" s="7">
        <f>+SUMIFS(Donnees!$J$6:$J$1000000,Donnees!$B$6:$B$1000000,"B2",Donnees!$F$6:$F$1000000,"2807")-SUMIFS(Donnees!$I$6:$I$1000000,Donnees!$B$6:$B$1000000,"B2",Donnees!$F$6:$F$1000000,"2807")</f>
        <v>0</v>
      </c>
      <c r="F15" s="7">
        <f>+SUMIFS(Donnees!$J$6:$J$1000000,Donnees!$B$6:$B$1000000,"B1",Donnees!$F$6:$F$1000000,"2907")-SUMIFS(Donnees!$I$6:$I$1000000,Donnees!$B$6:$B$1000000,"B1",Donnees!$F$6:$F$1000000,"2907")</f>
        <v>0</v>
      </c>
      <c r="G15" s="7">
        <f>+SUMIFS(Donnees!$J$6:$J$1000000,Donnees!$B$6:$B$1000000,"B2",Donnees!$F$6:$F$1000000,"2907")-SUMIFS(Donnees!$I$6:$I$1000000,Donnees!$B$6:$B$1000000,"B2",Donnees!$F$6:$F$1000000,"2907")</f>
        <v>0</v>
      </c>
      <c r="H15" s="8">
        <f t="shared" si="1"/>
        <v>0</v>
      </c>
    </row>
    <row r="16" spans="2:8" ht="15" customHeight="1" x14ac:dyDescent="0.25">
      <c r="B16" s="6" t="s">
        <v>18</v>
      </c>
      <c r="C16" s="7">
        <f>+SUMIFS(Donnees!$I$6:$I$1000000,Donnees!$B$6:$B$1000000,"B1",Donnees!$E$6:$E$1000000,"208")-SUMIFS(Donnees!$J$6:$J$1000000,Donnees!$B$6:$B$1000000,"B1",Donnees!$E$6:$E$1000000,"208")</f>
        <v>0</v>
      </c>
      <c r="D16" s="7">
        <f>+SUMIFS(Donnees!$J$6:$J$1000000,Donnees!$B$6:$B$1000000,"B1",Donnees!$F$6:$F$1000000,"2808")-SUMIFS(Donnees!$I$6:$I$1000000,Donnees!$B$6:$B$1000000,"B1",Donnees!$F$6:$F$1000000,"2808")</f>
        <v>0</v>
      </c>
      <c r="E16" s="7">
        <f>+SUMIFS(Donnees!$J$6:$J$1000000,Donnees!$B$6:$B$1000000,"B2",Donnees!$F$6:$F$1000000,"2808")-SUMIFS(Donnees!$I$6:$I$1000000,Donnees!$B$6:$B$1000000,"B2",Donnees!$F$6:$F$1000000,"2808")</f>
        <v>0</v>
      </c>
      <c r="F16" s="7">
        <f>+SUMIFS(Donnees!$J$6:$J$1000000,Donnees!$B$6:$B$1000000,"B1",Donnees!$F$6:$F$1000000,"2908")-SUMIFS(Donnees!$I$6:$I$1000000,Donnees!$B$6:$B$1000000,"B1",Donnees!$F$6:$F$1000000,"2908")</f>
        <v>0</v>
      </c>
      <c r="G16" s="7">
        <f>+SUMIFS(Donnees!$J$6:$J$1000000,Donnees!$B$6:$B$1000000,"B2",Donnees!$F$6:$F$1000000,"2908")-SUMIFS(Donnees!$I$6:$I$1000000,Donnees!$B$6:$B$1000000,"B2",Donnees!$F$6:$F$1000000,"2908")</f>
        <v>0</v>
      </c>
      <c r="H16" s="8">
        <f t="shared" si="1"/>
        <v>0</v>
      </c>
    </row>
    <row r="17" spans="2:8" ht="15" customHeight="1" x14ac:dyDescent="0.25">
      <c r="B17" s="22" t="s">
        <v>3</v>
      </c>
      <c r="C17" s="23">
        <f>SUM(C18:C25)</f>
        <v>2250000</v>
      </c>
      <c r="D17" s="23">
        <f t="shared" ref="D17:H17" si="2">SUM(D18:D25)</f>
        <v>13940</v>
      </c>
      <c r="E17" s="23">
        <f t="shared" si="2"/>
        <v>13940</v>
      </c>
      <c r="F17" s="23">
        <f t="shared" si="2"/>
        <v>4290</v>
      </c>
      <c r="G17" s="23">
        <f t="shared" si="2"/>
        <v>4290</v>
      </c>
      <c r="H17" s="24">
        <f t="shared" si="2"/>
        <v>2213540</v>
      </c>
    </row>
    <row r="18" spans="2:8" ht="15" customHeight="1" x14ac:dyDescent="0.25">
      <c r="B18" s="6" t="s">
        <v>51</v>
      </c>
      <c r="C18" s="7">
        <f>+SUMIFS(Donnees!$I$6:$I$1000000,Donnees!$B$6:$B$1000000,"B1",Donnees!$E$6:$E$1000000,"211")-SUMIFS(Donnees!$J$6:$J$1000000,Donnees!$B$6:$B$1000000,"B1",Donnees!$E$6:$E$1000000,"211")</f>
        <v>750000</v>
      </c>
      <c r="D18" s="7">
        <f>+SUMIFS(Donnees!$J$6:$J$1000000,Donnees!$B$6:$B$1000000,"B1",Donnees!$F$6:$F$1000000,"2811")-SUMIFS(Donnees!$I$6:$I$1000000,Donnees!$B$6:$B$1000000,"B1",Donnees!$F$6:$F$1000000,"2811")</f>
        <v>5200</v>
      </c>
      <c r="E18" s="7">
        <f>+SUMIFS(Donnees!$J$6:$J$1000000,Donnees!$B$6:$B$1000000,"B2",Donnees!$F$6:$F$1000000,"2811")-SUMIFS(Donnees!$I$6:$I$1000000,Donnees!$B$6:$B$1000000,"B2",Donnees!$F$6:$F$1000000,"2811")</f>
        <v>5200</v>
      </c>
      <c r="F18" s="7">
        <f>+SUMIFS(Donnees!$J$6:$J$1000000,Donnees!$B$6:$B$1000000,"B1",Donnees!$F$6:$F$1000000,"2911")-SUMIFS(Donnees!$I$6:$I$1000000,Donnees!$B$6:$B$1000000,"B1",Donnees!$F$6:$F$1000000,"2911")</f>
        <v>1400</v>
      </c>
      <c r="G18" s="7">
        <f>+SUMIFS(Donnees!$J$6:$J$1000000,Donnees!$B$6:$B$1000000,"B2",Donnees!$F$6:$F$1000000,"2911")-SUMIFS(Donnees!$I$6:$I$1000000,Donnees!$B$6:$B$1000000,"B2",Donnees!$F$6:$F$1000000,"2911")</f>
        <v>1400</v>
      </c>
      <c r="H18" s="8">
        <f>+C18-D18-E18-F18-G18</f>
        <v>736800</v>
      </c>
    </row>
    <row r="19" spans="2:8" ht="15" customHeight="1" x14ac:dyDescent="0.25">
      <c r="B19" s="6" t="s">
        <v>12</v>
      </c>
      <c r="C19" s="7">
        <f>+SUMIFS(Donnees!$I$6:$I$1000000,Donnees!$B$6:$B$1000000,"B1",Donnees!$E$6:$E$1000000,"212")-SUMIFS(Donnees!$J$6:$J$1000000,Donnees!$B$6:$B$1000000,"B1",Donnees!$E$6:$E$1000000,"212")</f>
        <v>0</v>
      </c>
      <c r="D19" s="7">
        <f>+SUMIFS(Donnees!$J$6:$J$1000000,Donnees!$B$6:$B$1000000,"B1",Donnees!$F$6:$F$1000000,"2812")-SUMIFS(Donnees!$I$6:$I$1000000,Donnees!$B$6:$B$1000000,"B1",Donnees!$F$6:$F$1000000,"2812")</f>
        <v>0</v>
      </c>
      <c r="E19" s="7">
        <f>+SUMIFS(Donnees!$J$6:$J$1000000,Donnees!$B$6:$B$1000000,"B2",Donnees!$F$6:$F$1000000,"2812")-SUMIFS(Donnees!$I$6:$I$1000000,Donnees!$B$6:$B$1000000,"B2",Donnees!$F$6:$F$1000000,"2812")</f>
        <v>0</v>
      </c>
      <c r="F19" s="7">
        <f>+SUMIFS(Donnees!$J$6:$J$1000000,Donnees!$B$6:$B$1000000,"B1",Donnees!$F$6:$F$1000000,"2912")-SUMIFS(Donnees!$I$6:$I$1000000,Donnees!$B$6:$B$1000000,"B1",Donnees!$F$6:$F$1000000,"2912")</f>
        <v>0</v>
      </c>
      <c r="G19" s="7">
        <f>+SUMIFS(Donnees!$J$6:$J$1000000,Donnees!$B$6:$B$1000000,"B2",Donnees!$F$6:$F$1000000,"2912")-SUMIFS(Donnees!$I$6:$I$1000000,Donnees!$B$6:$B$1000000,"B2",Donnees!$F$6:$F$1000000,"2912")</f>
        <v>0</v>
      </c>
      <c r="H19" s="8">
        <f t="shared" ref="H19:H25" si="3">+C19-D19-E19-F19-G19</f>
        <v>0</v>
      </c>
    </row>
    <row r="20" spans="2:8" ht="15" customHeight="1" x14ac:dyDescent="0.25">
      <c r="B20" s="6" t="s">
        <v>13</v>
      </c>
      <c r="C20" s="7">
        <f>+SUMIFS(Donnees!$I$6:$I$1000000,Donnees!$B$6:$B$1000000,"B1",Donnees!$E$6:$E$1000000,"213")-SUMIFS(Donnees!$J$6:$J$1000000,Donnees!$B$6:$B$1000000,"B1",Donnees!$E$6:$E$1000000,"213")</f>
        <v>1500000</v>
      </c>
      <c r="D20" s="7">
        <f>+SUMIFS(Donnees!$J$6:$J$1000000,Donnees!$B$6:$B$1000000,"B1",Donnees!$F$6:$F$1000000,"2813")-SUMIFS(Donnees!$I$6:$I$1000000,Donnees!$B$6:$B$1000000,"B1",Donnees!$F$6:$F$1000000,"2813")</f>
        <v>8740</v>
      </c>
      <c r="E20" s="7">
        <f>+SUMIFS(Donnees!$J$6:$J$1000000,Donnees!$B$6:$B$1000000,"B2",Donnees!$F$6:$F$1000000,"2813")-SUMIFS(Donnees!$I$6:$I$1000000,Donnees!$B$6:$B$1000000,"B2",Donnees!$F$6:$F$1000000,"2813")</f>
        <v>8740</v>
      </c>
      <c r="F20" s="7">
        <f>+SUMIFS(Donnees!$J$6:$J$1000000,Donnees!$B$6:$B$1000000,"B1",Donnees!$F$6:$F$1000000,"2913")-SUMIFS(Donnees!$I$6:$I$1000000,Donnees!$B$6:$B$1000000,"B1",Donnees!$F$6:$F$1000000,"2913")</f>
        <v>2890</v>
      </c>
      <c r="G20" s="7">
        <f>+SUMIFS(Donnees!$J$6:$J$1000000,Donnees!$B$6:$B$1000000,"B2",Donnees!$F$6:$F$1000000,"2913")-SUMIFS(Donnees!$I$6:$I$1000000,Donnees!$B$6:$B$1000000,"B2",Donnees!$F$6:$F$1000000,"2913")</f>
        <v>2890</v>
      </c>
      <c r="H20" s="8">
        <f t="shared" si="3"/>
        <v>1476740</v>
      </c>
    </row>
    <row r="21" spans="2:8" ht="15" customHeight="1" x14ac:dyDescent="0.25">
      <c r="B21" s="6" t="s">
        <v>14</v>
      </c>
      <c r="C21" s="7">
        <f>+SUMIFS(Donnees!$I$6:$I$1000000,Donnees!$B$6:$B$1000000,"B1",Donnees!$E$6:$E$1000000,"214")-SUMIFS(Donnees!$J$6:$J$1000000,Donnees!$B$6:$B$1000000,"B1",Donnees!$E$6:$E$1000000,"214")</f>
        <v>0</v>
      </c>
      <c r="D21" s="7">
        <f>+SUMIFS(Donnees!$J$6:$J$1000000,Donnees!$B$6:$B$1000000,"B1",Donnees!$F$6:$F$1000000,"2814")-SUMIFS(Donnees!$I$6:$I$1000000,Donnees!$B$6:$B$1000000,"B1",Donnees!$F$6:$F$1000000,"2814")</f>
        <v>0</v>
      </c>
      <c r="E21" s="7">
        <f>+SUMIFS(Donnees!$J$6:$J$1000000,Donnees!$B$6:$B$1000000,"B2",Donnees!$F$6:$F$1000000,"2814")-SUMIFS(Donnees!$I$6:$I$1000000,Donnees!$B$6:$B$1000000,"B2",Donnees!$F$6:$F$1000000,"2814")</f>
        <v>0</v>
      </c>
      <c r="F21" s="7">
        <f>+SUMIFS(Donnees!$J$6:$J$1000000,Donnees!$B$6:$B$1000000,"B1",Donnees!$F$6:$F$1000000,"2914")-SUMIFS(Donnees!$I$6:$I$1000000,Donnees!$B$6:$B$1000000,"B1",Donnees!$F$6:$F$1000000,"2914")</f>
        <v>0</v>
      </c>
      <c r="G21" s="7">
        <f>+SUMIFS(Donnees!$J$6:$J$1000000,Donnees!$B$6:$B$1000000,"B2",Donnees!$F$6:$F$1000000,"2914")-SUMIFS(Donnees!$I$6:$I$1000000,Donnees!$B$6:$B$1000000,"B2",Donnees!$F$6:$F$1000000,"2914")</f>
        <v>0</v>
      </c>
      <c r="H21" s="8">
        <f t="shared" si="3"/>
        <v>0</v>
      </c>
    </row>
    <row r="22" spans="2:8" ht="15" customHeight="1" x14ac:dyDescent="0.25">
      <c r="B22" s="6" t="s">
        <v>15</v>
      </c>
      <c r="C22" s="7">
        <f>+SUMIFS(Donnees!$I$6:$I$1000000,Donnees!$B$6:$B$1000000,"B1",Donnees!$E$6:$E$1000000,"215")-SUMIFS(Donnees!$J$6:$J$1000000,Donnees!$B$6:$B$1000000,"B1",Donnees!$E$6:$E$1000000,"215")</f>
        <v>0</v>
      </c>
      <c r="D22" s="7">
        <f>+SUMIFS(Donnees!$J$6:$J$1000000,Donnees!$B$6:$B$1000000,"B1",Donnees!$F$6:$F$1000000,"2815")-SUMIFS(Donnees!$I$6:$I$1000000,Donnees!$B$6:$B$1000000,"B1",Donnees!$F$6:$F$1000000,"2815")</f>
        <v>0</v>
      </c>
      <c r="E22" s="7">
        <f>+SUMIFS(Donnees!$J$6:$J$1000000,Donnees!$B$6:$B$1000000,"B2",Donnees!$F$6:$F$1000000,"2815")-SUMIFS(Donnees!$I$6:$I$1000000,Donnees!$B$6:$B$1000000,"B2",Donnees!$F$6:$F$1000000,"2815")</f>
        <v>0</v>
      </c>
      <c r="F22" s="7">
        <f>+SUMIFS(Donnees!$J$6:$J$1000000,Donnees!$B$6:$B$1000000,"B1",Donnees!$F$6:$F$1000000,"2915")-SUMIFS(Donnees!$I$6:$I$1000000,Donnees!$B$6:$B$1000000,"B1",Donnees!$F$6:$F$1000000,"2915")</f>
        <v>0</v>
      </c>
      <c r="G22" s="7">
        <f>+SUMIFS(Donnees!$J$6:$J$1000000,Donnees!$B$6:$B$1000000,"B2",Donnees!$F$6:$F$1000000,"2915")-SUMIFS(Donnees!$I$6:$I$1000000,Donnees!$B$6:$B$1000000,"B2",Donnees!$F$6:$F$1000000,"2915")</f>
        <v>0</v>
      </c>
      <c r="H22" s="8">
        <f t="shared" si="3"/>
        <v>0</v>
      </c>
    </row>
    <row r="23" spans="2:8" ht="15" customHeight="1" x14ac:dyDescent="0.25">
      <c r="B23" s="6" t="s">
        <v>16</v>
      </c>
      <c r="C23" s="7">
        <f>+SUMIFS(Donnees!$I$6:$I$1000000,Donnees!$B$6:$B$1000000,"B1",Donnees!$E$6:$E$1000000,"216")-SUMIFS(Donnees!$J$6:$J$1000000,Donnees!$B$6:$B$1000000,"B1",Donnees!$E$6:$E$1000000,"216")</f>
        <v>0</v>
      </c>
      <c r="D23" s="7">
        <f>+SUMIFS(Donnees!$J$6:$J$1000000,Donnees!$B$6:$B$1000000,"B1",Donnees!$F$6:$F$1000000,"2816")-SUMIFS(Donnees!$I$6:$I$1000000,Donnees!$B$6:$B$1000000,"B1",Donnees!$F$6:$F$1000000,"2816")</f>
        <v>0</v>
      </c>
      <c r="E23" s="7">
        <f>+SUMIFS(Donnees!$J$6:$J$1000000,Donnees!$B$6:$B$1000000,"B1",Donnees!$F$6:$F$1000000,"2816")-SUMIFS(Donnees!$I$6:$I$1000000,Donnees!$B$6:$B$1000000,"B1",Donnees!$F$6:$F$1000000,"2816")</f>
        <v>0</v>
      </c>
      <c r="F23" s="7">
        <f>+SUMIFS(Donnees!$J$6:$J$1000000,Donnees!$B$6:$B$1000000,"B1",Donnees!$F$6:$F$1000000,"2916")-SUMIFS(Donnees!$I$6:$I$1000000,Donnees!$B$6:$B$1000000,"B1",Donnees!$F$6:$F$1000000,"2916")</f>
        <v>0</v>
      </c>
      <c r="G23" s="7">
        <f>+SUMIFS(Donnees!$J$6:$J$1000000,Donnees!$B$6:$B$1000000,"B2",Donnees!$F$6:$F$1000000,"2916")-SUMIFS(Donnees!$I$6:$I$1000000,Donnees!$B$6:$B$1000000,"B2",Donnees!$F$6:$F$1000000,"2916")</f>
        <v>0</v>
      </c>
      <c r="H23" s="8">
        <f t="shared" si="3"/>
        <v>0</v>
      </c>
    </row>
    <row r="24" spans="2:8" ht="15" customHeight="1" x14ac:dyDescent="0.25">
      <c r="B24" s="6" t="s">
        <v>17</v>
      </c>
      <c r="C24" s="7">
        <f>+SUMIFS(Donnees!$I$6:$I$1000000,Donnees!$B$6:$B$1000000,"B1",Donnees!$E$6:$E$1000000,"217")-SUMIFS(Donnees!$J$6:$J$1000000,Donnees!$B$6:$B$1000000,"B1",Donnees!$E$6:$E$1000000,"217")</f>
        <v>0</v>
      </c>
      <c r="D24" s="7">
        <f>+SUMIFS(Donnees!$J$6:$J$1000000,Donnees!$B$6:$B$1000000,"B1",Donnees!$F$6:$F$1000000,"2817")-SUMIFS(Donnees!$I$6:$I$1000000,Donnees!$B$6:$B$1000000,"B1",Donnees!$F$6:$F$1000000,"2817")</f>
        <v>0</v>
      </c>
      <c r="E24" s="7">
        <f>+SUMIFS(Donnees!$J$6:$J$1000000,Donnees!$B$6:$B$1000000,"B2",Donnees!$F$6:$F$1000000,"2817")-SUMIFS(Donnees!$I$6:$I$1000000,Donnees!$B$6:$B$1000000,"B2",Donnees!$F$6:$F$1000000,"2817")</f>
        <v>0</v>
      </c>
      <c r="F24" s="7">
        <f>+SUMIFS(Donnees!$J$6:$J$1000000,Donnees!$B$6:$B$1000000,"B1",Donnees!$F$6:$F$1000000,"2917")-SUMIFS(Donnees!$I$6:$I$1000000,Donnees!$B$6:$B$1000000,"B1",Donnees!$F$6:$F$1000000,"2917")</f>
        <v>0</v>
      </c>
      <c r="G24" s="7">
        <f>+SUMIFS(Donnees!$J$6:$J$1000000,Donnees!$B$6:$B$1000000,"B2",Donnees!$F$6:$F$1000000,"2917")-SUMIFS(Donnees!$I$6:$I$1000000,Donnees!$B$6:$B$1000000,"B2",Donnees!$F$6:$F$1000000,"2917")</f>
        <v>0</v>
      </c>
      <c r="H24" s="8">
        <f t="shared" si="3"/>
        <v>0</v>
      </c>
    </row>
    <row r="25" spans="2:8" ht="15" customHeight="1" x14ac:dyDescent="0.25">
      <c r="B25" s="6" t="s">
        <v>11</v>
      </c>
      <c r="C25" s="7">
        <f>+SUMIFS(Donnees!$I$6:$I$1000000,Donnees!$B$6:$B$1000000,"B1",Donnees!$E$6:$E$1000000,"218")-SUMIFS(Donnees!$J$6:$J$1000000,Donnees!$B$6:$B$1000000,"B1",Donnees!$E$6:$E$1000000,"218")</f>
        <v>0</v>
      </c>
      <c r="D25" s="7">
        <f>+SUMIFS(Donnees!$J$6:$J$1000000,Donnees!$B$6:$B$1000000,"B1",Donnees!$F$6:$F$1000000,"2818")-SUMIFS(Donnees!$I$6:$I$1000000,Donnees!$B$6:$B$1000000,"B1",Donnees!$F$6:$F$1000000,"2818")</f>
        <v>0</v>
      </c>
      <c r="E25" s="7">
        <f>+SUMIFS(Donnees!$J$6:$J$1000000,Donnees!$B$6:$B$1000000,"B2",Donnees!$F$6:$F$1000000,"2818")-SUMIFS(Donnees!$I$6:$I$1000000,Donnees!$B$6:$B$1000000,"B2",Donnees!$F$6:$F$1000000,"2818")</f>
        <v>0</v>
      </c>
      <c r="F25" s="7">
        <f>+SUMIFS(Donnees!$J$6:$J$1000000,Donnees!$B$6:$B$1000000,"B1",Donnees!$F$6:$F$1000000,"2918")-SUMIFS(Donnees!$I$6:$I$1000000,Donnees!$B$6:$B$1000000,"B1",Donnees!$F$6:$F$1000000,"2918")</f>
        <v>0</v>
      </c>
      <c r="G25" s="7">
        <f>+SUMIFS(Donnees!$J$6:$J$1000000,Donnees!$B$6:$B$1000000,"B2",Donnees!$F$6:$F$1000000,"2918")-SUMIFS(Donnees!$I$6:$I$1000000,Donnees!$B$6:$B$1000000,"B2",Donnees!$F$6:$F$1000000,"2918")</f>
        <v>0</v>
      </c>
      <c r="H25" s="8">
        <f t="shared" si="3"/>
        <v>0</v>
      </c>
    </row>
    <row r="26" spans="2:8" ht="15" customHeight="1" x14ac:dyDescent="0.25">
      <c r="B26" s="22" t="s">
        <v>19</v>
      </c>
      <c r="C26" s="23">
        <f>SUM(C27:C28)</f>
        <v>0</v>
      </c>
      <c r="D26" s="23">
        <f t="shared" ref="D26:H26" si="4">SUM(D27:D28)</f>
        <v>0</v>
      </c>
      <c r="E26" s="23">
        <f t="shared" si="4"/>
        <v>0</v>
      </c>
      <c r="F26" s="23">
        <f t="shared" si="4"/>
        <v>0</v>
      </c>
      <c r="G26" s="23">
        <f t="shared" si="4"/>
        <v>0</v>
      </c>
      <c r="H26" s="24">
        <f t="shared" si="4"/>
        <v>0</v>
      </c>
    </row>
    <row r="27" spans="2:8" ht="15" customHeight="1" x14ac:dyDescent="0.25">
      <c r="B27" s="6" t="s">
        <v>20</v>
      </c>
      <c r="C27" s="7"/>
      <c r="D27" s="7">
        <f>+SUMIFS(Donnees!$J$6:$J$1000000,Donnees!$B$6:$B$1000000,"B1",Donnees!$F$6:$F$1000000,"2828")-SUMIFS(Donnees!$I$6:$I$1000000,Donnees!$B$6:$B$1000000,"B1",Donnees!$F$6:$F$1000000,"2828")</f>
        <v>0</v>
      </c>
      <c r="E27" s="7">
        <f>+SUMIFS(Donnees!$J$6:$J$1000000,Donnees!$B$6:$B$1000000,"B2",Donnees!$F$6:$F$1000000,"2828")-SUMIFS(Donnees!$I$6:$I$1000000,Donnees!$B$6:$B$1000000,"B2",Donnees!$F$6:$F$1000000,"2828")</f>
        <v>0</v>
      </c>
      <c r="F27" s="7">
        <f>+SUMIFS(Donnees!$J$6:$J$1000000,Donnees!$B$6:$B$1000000,"B1",Donnees!$F$6:$F$1000000,"2928")-SUMIFS(Donnees!$I$6:$I$1000000,Donnees!$B$6:$B$1000000,"B1",Donnees!$F$6:$F$1000000,"2928")</f>
        <v>0</v>
      </c>
      <c r="G27" s="7">
        <f>+SUMIFS(Donnees!$J$6:$J$1000000,Donnees!$B$6:$B$1000000,"B2",Donnees!$F$6:$F$1000000,"2928")-SUMIFS(Donnees!$I$6:$I$1000000,Donnees!$B$6:$B$1000000,"B2",Donnees!$F$6:$F$1000000,"2928")</f>
        <v>0</v>
      </c>
      <c r="H27" s="8">
        <f t="shared" ref="H27:H28" si="5">+C27-D27-E27-F27-G27</f>
        <v>0</v>
      </c>
    </row>
    <row r="28" spans="2:8" ht="15" customHeight="1" x14ac:dyDescent="0.25">
      <c r="B28" s="6" t="s">
        <v>21</v>
      </c>
      <c r="C28" s="7"/>
      <c r="D28" s="7">
        <f>+SUMIFS(Donnees!$J$6:$J$1000000,Donnees!$B$6:$B$1000000,"B1",Donnees!$F$6:$F$1000000,"2829")-SUMIFS(Donnees!$I$6:$I$1000000,Donnees!$B$6:$B$1000000,"B1",Donnees!$F$6:$F$1000000,"2829")</f>
        <v>0</v>
      </c>
      <c r="E28" s="7">
        <f>+SUMIFS(Donnees!$J$6:$J$1000000,Donnees!$B$6:$B$1000000,"B2",Donnees!$F$6:$F$1000000,"2829")-SUMIFS(Donnees!$I$6:$I$1000000,Donnees!$B$6:$B$1000000,"B2",Donnees!$F$6:$F$1000000,"2829")</f>
        <v>0</v>
      </c>
      <c r="F28" s="7">
        <f>+SUMIFS(Donnees!$J$6:$J$1000000,Donnees!$B$6:$B$1000000,"B1",Donnees!$F$6:$F$1000000,"2929")-SUMIFS(Donnees!$I$6:$I$1000000,Donnees!$B$6:$B$1000000,"B1",Donnees!$F$6:$F$1000000,"2929")</f>
        <v>0</v>
      </c>
      <c r="G28" s="7">
        <f>+SUMIFS(Donnees!$J$6:$J$1000000,Donnees!$B$6:$B$1000000,"B2",Donnees!$F$6:$F$1000000,"2929")-SUMIFS(Donnees!$I$6:$I$1000000,Donnees!$B$6:$B$1000000,"B2",Donnees!$F$6:$F$1000000,"2929")</f>
        <v>0</v>
      </c>
      <c r="H28" s="8">
        <f t="shared" si="5"/>
        <v>0</v>
      </c>
    </row>
    <row r="29" spans="2:8" ht="15" customHeight="1" x14ac:dyDescent="0.25">
      <c r="B29" s="22" t="s">
        <v>22</v>
      </c>
      <c r="C29" s="23">
        <f>SUM(C30:C34)</f>
        <v>256000</v>
      </c>
      <c r="D29" s="23">
        <f t="shared" ref="D29:H29" si="6">SUM(D30:D34)</f>
        <v>0</v>
      </c>
      <c r="E29" s="23">
        <f t="shared" si="6"/>
        <v>0</v>
      </c>
      <c r="F29" s="23">
        <f t="shared" si="6"/>
        <v>1630</v>
      </c>
      <c r="G29" s="23">
        <f t="shared" si="6"/>
        <v>1000</v>
      </c>
      <c r="H29" s="24">
        <f t="shared" si="6"/>
        <v>253370</v>
      </c>
    </row>
    <row r="30" spans="2:8" ht="15" customHeight="1" x14ac:dyDescent="0.25">
      <c r="B30" s="6" t="s">
        <v>24</v>
      </c>
      <c r="C30" s="7">
        <f>+SUMIFS(Donnees!$I$6:$I$1000000,Donnees!$B$6:$B$1000000,"B1",Donnees!$E$6:$E$1000000,"231")-SUMIFS(Donnees!$J$6:$J$1000000,Donnees!$B$6:$B$1000000,"B1",Donnees!$E$6:$E$1000000,"231")</f>
        <v>115000</v>
      </c>
      <c r="D30" s="7"/>
      <c r="E30" s="7"/>
      <c r="F30" s="7">
        <f>+SUMIFS(Donnees!$J$6:$J$1000000,Donnees!$B$6:$B$1000000,"B1",Donnees!$F$6:$F$1000000,"2931")-SUMIFS(Donnees!$I$6:$I$1000000,Donnees!$B$6:$B$1000000,"B1",Donnees!$F$6:$F$1000000,"2931")</f>
        <v>1630</v>
      </c>
      <c r="G30" s="7">
        <f>+SUMIFS(Donnees!$J$6:$J$1000000,Donnees!$B$6:$B$1000000,"B2",Donnees!$F$6:$F$1000000,"2931")-SUMIFS(Donnees!$I$6:$I$1000000,Donnees!$B$6:$B$1000000,"B2",Donnees!$F$6:$F$1000000,"2931")</f>
        <v>1000</v>
      </c>
      <c r="H30" s="8">
        <f t="shared" ref="H30:H34" si="7">+C30-D30-E30-F30-G30</f>
        <v>112370</v>
      </c>
    </row>
    <row r="31" spans="2:8" ht="15" customHeight="1" x14ac:dyDescent="0.25">
      <c r="B31" s="6" t="s">
        <v>23</v>
      </c>
      <c r="C31" s="7">
        <f>+SUMIFS(Donnees!$I$6:$I$1000000,Donnees!$B$6:$B$1000000,"B1",Donnees!$E$6:$E$1000000,"232")-SUMIFS(Donnees!$J$6:$J$1000000,Donnees!$B$6:$B$1000000,"B1",Donnees!$E$6:$E$1000000,"232")</f>
        <v>0</v>
      </c>
      <c r="D31" s="7"/>
      <c r="E31" s="7"/>
      <c r="F31" s="7">
        <f>+SUMIFS(Donnees!$J$6:$J$1000000,Donnees!$B$6:$B$1000000,"B1",Donnees!$F$6:$F$1000000,"2932")-SUMIFS(Donnees!$I$6:$I$1000000,Donnees!$B$6:$B$1000000,"B1",Donnees!$F$6:$F$1000000,"2932")</f>
        <v>0</v>
      </c>
      <c r="G31" s="7">
        <f>+SUMIFS(Donnees!$J$6:$J$1000000,Donnees!$B$6:$B$1000000,"B2",Donnees!$F$6:$F$1000000,"2932")-SUMIFS(Donnees!$I$6:$I$1000000,Donnees!$B$6:$B$1000000,"B2",Donnees!$F$6:$F$1000000,"2932")</f>
        <v>0</v>
      </c>
      <c r="H31" s="8">
        <f t="shared" si="7"/>
        <v>0</v>
      </c>
    </row>
    <row r="32" spans="2:8" ht="15" customHeight="1" x14ac:dyDescent="0.25">
      <c r="B32" s="6" t="s">
        <v>25</v>
      </c>
      <c r="C32" s="7">
        <f>+SUMIFS(Donnees!$I$6:$I$1000000,Donnees!$B$6:$B$1000000,"B1",Donnees!$E$6:$E$1000000,"235")-SUMIFS(Donnees!$J$6:$J$1000000,Donnees!$B$6:$B$1000000,"B1",Donnees!$E$6:$E$1000000,"235")</f>
        <v>0</v>
      </c>
      <c r="D32" s="7"/>
      <c r="E32" s="7"/>
      <c r="F32" s="7">
        <f>+SUMIFS(Donnees!$J$6:$J$1000000,Donnees!$B$6:$B$1000000,"B1",Donnees!$F$6:$F$1000000,"2935")-SUMIFS(Donnees!$I$6:$I$1000000,Donnees!$B$6:$B$1000000,"B1",Donnees!$F$6:$F$1000000,"2935")</f>
        <v>0</v>
      </c>
      <c r="G32" s="7">
        <f>+SUMIFS(Donnees!$J$6:$J$1000000,Donnees!$B$6:$B$1000000,"B2",Donnees!$F$6:$F$1000000,"2935")-SUMIFS(Donnees!$I$6:$I$1000000,Donnees!$B$6:$B$1000000,"B2",Donnees!$F$6:$F$1000000,"2935")</f>
        <v>0</v>
      </c>
      <c r="H32" s="8">
        <f t="shared" si="7"/>
        <v>0</v>
      </c>
    </row>
    <row r="33" spans="2:8" ht="15" customHeight="1" x14ac:dyDescent="0.25">
      <c r="B33" s="6" t="s">
        <v>26</v>
      </c>
      <c r="C33" s="7">
        <f>+SUMIFS(Donnees!$I$6:$I$1000000,Donnees!$B$6:$B$1000000,"B1",Donnees!$E$6:$E$1000000,"237")-SUMIFS(Donnees!$J$6:$J$1000000,Donnees!$B$6:$B$1000000,"B1",Donnees!$E$6:$E$1000000,"237")</f>
        <v>141000</v>
      </c>
      <c r="D33" s="7"/>
      <c r="E33" s="7"/>
      <c r="F33" s="7">
        <f>+SUMIFS(Donnees!$J$6:$J$1000000,Donnees!$B$6:$B$1000000,"B1",Donnees!$F$6:$F$1000000,"2937")-SUMIFS(Donnees!$I$6:$I$1000000,Donnees!$B$6:$B$1000000,"B1",Donnees!$F$6:$F$1000000,"2937")</f>
        <v>0</v>
      </c>
      <c r="G33" s="7">
        <f>+SUMIFS(Donnees!$J$6:$J$1000000,Donnees!$B$6:$B$1000000,"B2",Donnees!$F$6:$F$1000000,"2937")-SUMIFS(Donnees!$I$6:$I$1000000,Donnees!$B$6:$B$1000000,"B2",Donnees!$F$6:$F$1000000,"2937")</f>
        <v>0</v>
      </c>
      <c r="H33" s="8">
        <f t="shared" si="7"/>
        <v>141000</v>
      </c>
    </row>
    <row r="34" spans="2:8" ht="15" customHeight="1" x14ac:dyDescent="0.25">
      <c r="B34" s="6" t="s">
        <v>27</v>
      </c>
      <c r="C34" s="7">
        <f>+SUMIFS(Donnees!$I$6:$I$1000000,Donnees!$B$6:$B$1000000,"B1",Donnees!$E$6:$E$1000000,"238")-SUMIFS(Donnees!$J$6:$J$1000000,Donnees!$B$6:$B$1000000,"B1",Donnees!$E$6:$E$1000000,"238")</f>
        <v>0</v>
      </c>
      <c r="D34" s="7"/>
      <c r="E34" s="7"/>
      <c r="F34" s="7">
        <f>+SUMIFS(Donnees!$J$6:$J$1000000,Donnees!$B$6:$B$1000000,"B1",Donnees!$F$6:$F$1000000,"2938")-SUMIFS(Donnees!$I$6:$I$1000000,Donnees!$B$6:$B$1000000,"B1",Donnees!$F$6:$F$1000000,"2938")</f>
        <v>0</v>
      </c>
      <c r="G34" s="7">
        <f>+SUMIFS(Donnees!$J$6:$J$1000000,Donnees!$B$6:$B$1000000,"B2",Donnees!$F$6:$F$1000000,"2938")-SUMIFS(Donnees!$I$6:$I$1000000,Donnees!$B$6:$B$1000000,"B2",Donnees!$F$6:$F$1000000,"2938")</f>
        <v>0</v>
      </c>
      <c r="H34" s="8">
        <f t="shared" si="7"/>
        <v>0</v>
      </c>
    </row>
    <row r="35" spans="2:8" ht="15" customHeight="1" x14ac:dyDescent="0.25">
      <c r="B35" s="22" t="s">
        <v>28</v>
      </c>
      <c r="C35" s="23">
        <f>SUM(C36)</f>
        <v>12000</v>
      </c>
      <c r="D35" s="23">
        <f t="shared" ref="D35:H35" si="8">SUM(D36)</f>
        <v>5200</v>
      </c>
      <c r="E35" s="23">
        <f t="shared" si="8"/>
        <v>0</v>
      </c>
      <c r="F35" s="23">
        <f t="shared" si="8"/>
        <v>890</v>
      </c>
      <c r="G35" s="23">
        <f t="shared" si="8"/>
        <v>0</v>
      </c>
      <c r="H35" s="24">
        <f t="shared" si="8"/>
        <v>5910</v>
      </c>
    </row>
    <row r="36" spans="2:8" ht="15" customHeight="1" x14ac:dyDescent="0.25">
      <c r="B36" s="9" t="s">
        <v>53</v>
      </c>
      <c r="C36" s="7">
        <f>+SUMIFS(Donnees!$I$6:$I$1000000,Donnees!$B$6:$B$1000000,"B1",Donnees!$E$6:$E$1000000,"220")-SUMIFS(Donnees!$J$6:$J$1000000,Donnees!$B$6:$B$1000000,"B1",Donnees!$E$6:$E$1000000,"220")</f>
        <v>12000</v>
      </c>
      <c r="D36" s="7">
        <f>+SUMIFS(Donnees!$J$6:$J$1000000,Donnees!$B$6:$B$1000000,"B1",Donnees!$F$6:$F$1000000,"2820")-SUMIFS(Donnees!$I$6:$I$1000000,Donnees!$B$6:$B$1000000,"B1",Donnees!$F$6:$F$1000000,"2820")</f>
        <v>5200</v>
      </c>
      <c r="E36" s="7">
        <f>+SUMIFS(Donnees!$J$6:$J$1000000,Donnees!$B$6:$B$1000000,"B2",Donnees!$F$6:$F$1000000,"2820")-SUMIFS(Donnees!$I$6:$I$1000000,Donnees!$B$6:$B$1000000,"B2",Donnees!$F$6:$F$1000000,"2820")</f>
        <v>0</v>
      </c>
      <c r="F36" s="7">
        <f>+SUMIFS(Donnees!$J$6:$J$1000000,Donnees!$B$6:$B$1000000,"B1",Donnees!$F$6:$F$1000000,"2920")-SUMIFS(Donnees!$I$6:$I$1000000,Donnees!$B$6:$B$1000000,"B1",Donnees!$F$6:$F$1000000,"2920")</f>
        <v>890</v>
      </c>
      <c r="G36" s="7">
        <f>+SUMIFS(Donnees!$J$6:$J$1000000,Donnees!$B$6:$B$1000000,"B2",Donnees!$F$6:$F$1000000,"2920")-SUMIFS(Donnees!$I$6:$I$1000000,Donnees!$B$6:$B$1000000,"B2",Donnees!$F$6:$F$1000000,"2920")</f>
        <v>0</v>
      </c>
      <c r="H36" s="8">
        <f t="shared" ref="H36" si="9">+C36-D36-E36-F36-G36</f>
        <v>5910</v>
      </c>
    </row>
    <row r="37" spans="2:8" ht="15" customHeight="1" x14ac:dyDescent="0.25">
      <c r="B37" s="22" t="s">
        <v>29</v>
      </c>
      <c r="C37" s="23">
        <f>SUM(C38:C42)</f>
        <v>0</v>
      </c>
      <c r="D37" s="23">
        <f t="shared" ref="D37:H37" si="10">SUM(D38:D42)</f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  <c r="H37" s="24">
        <f t="shared" si="10"/>
        <v>0</v>
      </c>
    </row>
    <row r="38" spans="2:8" ht="15" customHeight="1" x14ac:dyDescent="0.25">
      <c r="B38" s="9" t="s">
        <v>31</v>
      </c>
      <c r="C38" s="7">
        <f>+SUMIFS(Donnees!$I$6:$I$1000000,Donnees!$B$6:$B$1000000,"B1",Donnees!$E$6:$E$1000000,"251")-SUMIFS(Donnees!$J$6:$J$1000000,Donnees!$B$6:$B$1000000,"B1",Donnees!$E$6:$E$1000000,"251")</f>
        <v>0</v>
      </c>
      <c r="D38" s="7">
        <f>+SUMIFS(Donnees!$J$6:$J$1000000,Donnees!$B$6:$B$1000000,"B1",Donnees!$F$6:$F$1000000,"2851")-SUMIFS(Donnees!$I$6:$I$1000000,Donnees!$B$6:$B$1000000,"B1",Donnees!$F$6:$F$1000000,"2851")</f>
        <v>0</v>
      </c>
      <c r="E38" s="7">
        <f>+SUMIFS(Donnees!$J$6:$J$1000000,Donnees!$B$6:$B$1000000,"B2",Donnees!$F$6:$F$1000000,"2851")-SUMIFS(Donnees!$I$6:$I$1000000,Donnees!$B$6:$B$1000000,"B2",Donnees!$F$6:$F$1000000,"2851")</f>
        <v>0</v>
      </c>
      <c r="F38" s="7">
        <f>+SUMIFS(Donnees!$J$6:$J$1000000,Donnees!$B$6:$B$1000000,"B1",Donnees!$F$6:$F$1000000,"2951")-SUMIFS(Donnees!$I$6:$I$1000000,Donnees!$B$6:$B$1000000,"B1",Donnees!$F$6:$F$1000000,"2951")</f>
        <v>0</v>
      </c>
      <c r="G38" s="7">
        <f>+SUMIFS(Donnees!$J$6:$J$1000000,Donnees!$B$6:$B$1000000,"B2",Donnees!$F$6:$F$1000000,"2951")-SUMIFS(Donnees!$I$6:$I$1000000,Donnees!$B$6:$B$1000000,"B2",Donnees!$F$6:$F$1000000,"2951")</f>
        <v>0</v>
      </c>
      <c r="H38" s="8">
        <f t="shared" ref="H38:H41" si="11">+C38-D38-E38-F38-G38</f>
        <v>0</v>
      </c>
    </row>
    <row r="39" spans="2:8" ht="15" customHeight="1" x14ac:dyDescent="0.25">
      <c r="B39" s="9" t="s">
        <v>30</v>
      </c>
      <c r="C39" s="7">
        <f>+SUMIFS(Donnees!$I$6:$I$1000000,Donnees!$B$6:$B$1000000,"B1",Donnees!$E$6:$E$1000000,"252")-SUMIFS(Donnees!$J$6:$J$1000000,Donnees!$B$6:$B$1000000,"B1",Donnees!$E$6:$E$1000000,"252")</f>
        <v>0</v>
      </c>
      <c r="D39" s="7">
        <f>+SUMIFS(Donnees!$J$6:$J$1000000,Donnees!$B$6:$B$1000000,"B1",Donnees!$F$6:$F$1000000,"2852")-SUMIFS(Donnees!$I$6:$I$1000000,Donnees!$B$6:$B$1000000,"B1",Donnees!$F$6:$F$1000000,"2852")</f>
        <v>0</v>
      </c>
      <c r="E39" s="7">
        <f>+SUMIFS(Donnees!$J$6:$J$1000000,Donnees!$B$6:$B$1000000,"B2",Donnees!$F$6:$F$1000000,"2852")-SUMIFS(Donnees!$I$6:$I$1000000,Donnees!$B$6:$B$1000000,"B2",Donnees!$F$6:$F$1000000,"2852")</f>
        <v>0</v>
      </c>
      <c r="F39" s="7">
        <f>+SUMIFS(Donnees!$J$6:$J$1000000,Donnees!$B$6:$B$1000000,"B1",Donnees!$F$6:$F$1000000,"2952")-SUMIFS(Donnees!$I$6:$I$1000000,Donnees!$B$6:$B$1000000,"B1",Donnees!$F$6:$F$1000000,"2952")</f>
        <v>0</v>
      </c>
      <c r="G39" s="7">
        <f>+SUMIFS(Donnees!$J$6:$J$1000000,Donnees!$B$6:$B$1000000,"B2",Donnees!$F$6:$F$1000000,"2952")-SUMIFS(Donnees!$I$6:$I$1000000,Donnees!$B$6:$B$1000000,"B2",Donnees!$F$6:$F$1000000,"2952")</f>
        <v>0</v>
      </c>
      <c r="H39" s="8">
        <f t="shared" si="11"/>
        <v>0</v>
      </c>
    </row>
    <row r="40" spans="2:8" ht="15" customHeight="1" x14ac:dyDescent="0.25">
      <c r="B40" s="9" t="s">
        <v>32</v>
      </c>
      <c r="C40" s="7">
        <f>+SUMIFS(Donnees!$I$6:$I$1000000,Donnees!$B$6:$B$1000000,"B1",Donnees!$E$6:$E$1000000,"253")-SUMIFS(Donnees!$J$6:$J$1000000,Donnees!$B$6:$B$1000000,"B1",Donnees!$E$6:$E$1000000,"253")</f>
        <v>0</v>
      </c>
      <c r="D40" s="7">
        <f>+SUMIFS(Donnees!$J$6:$J$1000000,Donnees!$B$6:$B$1000000,"B1",Donnees!$F$6:$F$1000000,"2853")-SUMIFS(Donnees!$I$6:$I$1000000,Donnees!$B$6:$B$1000000,"B1",Donnees!$F$6:$F$1000000,"2853")</f>
        <v>0</v>
      </c>
      <c r="E40" s="7">
        <f>+SUMIFS(Donnees!$J$6:$J$1000000,Donnees!$B$6:$B$1000000,"B2",Donnees!$F$6:$F$1000000,"2853")-SUMIFS(Donnees!$I$6:$I$1000000,Donnees!$B$6:$B$1000000,"B2",Donnees!$F$6:$F$1000000,"2853")</f>
        <v>0</v>
      </c>
      <c r="F40" s="7">
        <f>+SUMIFS(Donnees!$J$6:$J$1000000,Donnees!$B$6:$B$1000000,"B1",Donnees!$F$6:$F$1000000,"2953")-SUMIFS(Donnees!$I$6:$I$1000000,Donnees!$B$6:$B$1000000,"B1",Donnees!$F$6:$F$1000000,"2953")</f>
        <v>0</v>
      </c>
      <c r="G40" s="7">
        <f>+SUMIFS(Donnees!$J$6:$J$1000000,Donnees!$B$6:$B$1000000,"B2",Donnees!$F$6:$F$1000000,"2953")-SUMIFS(Donnees!$I$6:$I$1000000,Donnees!$B$6:$B$1000000,"B2",Donnees!$F$6:$F$1000000,"2953")</f>
        <v>0</v>
      </c>
      <c r="H40" s="8">
        <f t="shared" si="11"/>
        <v>0</v>
      </c>
    </row>
    <row r="41" spans="2:8" ht="15" customHeight="1" x14ac:dyDescent="0.25">
      <c r="B41" s="9" t="s">
        <v>33</v>
      </c>
      <c r="C41" s="7">
        <f>+SUMIFS(Donnees!$I$6:$I$1000000,Donnees!$B$6:$B$1000000,"B1",Donnees!$E$6:$E$1000000,"254")-SUMIFS(Donnees!$J$6:$J$1000000,Donnees!$B$6:$B$1000000,"B1",Donnees!$E$6:$E$1000000,"254")</f>
        <v>0</v>
      </c>
      <c r="D41" s="7">
        <f>+SUMIFS(Donnees!$J$6:$J$1000000,Donnees!$B$6:$B$1000000,"B1",Donnees!$F$6:$F$1000000,"2854")-SUMIFS(Donnees!$I$6:$I$1000000,Donnees!$B$6:$B$1000000,"B1",Donnees!$F$6:$F$1000000,"2854")</f>
        <v>0</v>
      </c>
      <c r="E41" s="7">
        <f>+SUMIFS(Donnees!$J$6:$J$1000000,Donnees!$B$6:$B$1000000,"B2",Donnees!$F$6:$F$1000000,"2854")-SUMIFS(Donnees!$I$6:$I$1000000,Donnees!$B$6:$B$1000000,"B2",Donnees!$F$6:$F$1000000,"2854")</f>
        <v>0</v>
      </c>
      <c r="F41" s="7">
        <f>+SUMIFS(Donnees!$J$6:$J$1000000,Donnees!$B$6:$B$1000000,"B1",Donnees!$F$6:$F$1000000,"2954")-SUMIFS(Donnees!$I$6:$I$1000000,Donnees!$B$6:$B$1000000,"B1",Donnees!$F$6:$F$1000000,"2954")</f>
        <v>0</v>
      </c>
      <c r="G41" s="7">
        <f>+SUMIFS(Donnees!$J$6:$J$1000000,Donnees!$B$6:$B$1000000,"B2",Donnees!$F$6:$F$1000000,"2954")-SUMIFS(Donnees!$I$6:$I$1000000,Donnees!$B$6:$B$1000000,"B2",Donnees!$F$6:$F$1000000,"2954")</f>
        <v>0</v>
      </c>
      <c r="H41" s="8">
        <f t="shared" si="11"/>
        <v>0</v>
      </c>
    </row>
    <row r="42" spans="2:8" ht="15" customHeight="1" x14ac:dyDescent="0.25">
      <c r="B42" s="9" t="s">
        <v>34</v>
      </c>
      <c r="C42" s="7">
        <f>+SUMIFS(Donnees!$I$6:$I$1000000,Donnees!$B$6:$B$1000000,"B1",Donnees!$E$6:$E$1000000,"257")-SUMIFS(Donnees!$J$6:$J$1000000,Donnees!$B$6:$B$1000000,"B1",Donnees!$E$6:$E$1000000,"257")</f>
        <v>0</v>
      </c>
      <c r="D42" s="7">
        <f>+SUMIFS(Donnees!$J$6:$J$1000000,Donnees!$B$6:$B$1000000,"B1",Donnees!$F$6:$F$1000000,"2857")-SUMIFS(Donnees!$I$6:$I$1000000,Donnees!$B$6:$B$1000000,"B1",Donnees!$F$6:$F$1000000,"2857")</f>
        <v>0</v>
      </c>
      <c r="E42" s="7">
        <f>+SUMIFS(Donnees!$J$6:$J$1000000,Donnees!$B$6:$B$1000000,"B2",Donnees!$F$6:$F$1000000,"2857")-SUMIFS(Donnees!$I$6:$I$1000000,Donnees!$B$6:$B$1000000,"B2",Donnees!$F$6:$F$1000000,"2857")</f>
        <v>0</v>
      </c>
      <c r="F42" s="7">
        <f>+SUMIFS(Donnees!$J$6:$J$1000000,Donnees!$B$6:$B$1000000,"B1",Donnees!$F$6:$F$1000000,"2957")-SUMIFS(Donnees!$I$6:$I$1000000,Donnees!$B$6:$B$1000000,"B1",Donnees!$F$6:$F$1000000,"2957")</f>
        <v>0</v>
      </c>
      <c r="G42" s="7">
        <f>+SUMIFS(Donnees!$J$6:$J$1000000,Donnees!$B$6:$B$1000000,"B2",Donnees!$F$6:$F$1000000,"2957")-SUMIFS(Donnees!$I$6:$I$1000000,Donnees!$B$6:$B$1000000,"B2",Donnees!$F$6:$F$1000000,"2957")</f>
        <v>0</v>
      </c>
      <c r="H42" s="8">
        <f>+C42-D42-E42-F42-G42</f>
        <v>0</v>
      </c>
    </row>
    <row r="43" spans="2:8" ht="15" customHeight="1" x14ac:dyDescent="0.25">
      <c r="B43" s="22" t="s">
        <v>35</v>
      </c>
      <c r="C43" s="23">
        <f>SUM(C44:C49)</f>
        <v>975000</v>
      </c>
      <c r="D43" s="23">
        <f t="shared" ref="D43:H43" si="12">SUM(D44:D49)</f>
        <v>0</v>
      </c>
      <c r="E43" s="23">
        <f t="shared" si="12"/>
        <v>0</v>
      </c>
      <c r="F43" s="23">
        <f t="shared" si="12"/>
        <v>19800</v>
      </c>
      <c r="G43" s="23">
        <f t="shared" si="12"/>
        <v>12690</v>
      </c>
      <c r="H43" s="24">
        <f t="shared" si="12"/>
        <v>942510</v>
      </c>
    </row>
    <row r="44" spans="2:8" ht="15" customHeight="1" x14ac:dyDescent="0.25">
      <c r="B44" s="9" t="s">
        <v>36</v>
      </c>
      <c r="C44" s="7">
        <f>+SUMIFS(Donnees!$I$6:$I$1000000,Donnees!$B$6:$B$1000000,"B1",Donnees!$E$6:$E$1000000,"261")-SUMIFS(Donnees!$J$6:$J$1000000,Donnees!$B$6:$B$1000000,"B1",Donnees!$E$6:$E$1000000,"261")</f>
        <v>300000</v>
      </c>
      <c r="D44" s="7"/>
      <c r="E44" s="7"/>
      <c r="F44" s="7">
        <f>+SUMIFS(Donnees!$J$6:$J$1000000,Donnees!$B$6:$B$1000000,"B1",Donnees!$F$6:$F$1000000,"2961")-SUMIFS(Donnees!$I$6:$I$1000000,Donnees!$B$6:$B$1000000,"B1",Donnees!$F$6:$F$1000000,"2961")</f>
        <v>5800</v>
      </c>
      <c r="G44" s="7">
        <f>+SUMIFS(Donnees!$J$6:$J$1000000,Donnees!$B$6:$B$1000000,"B2",Donnees!$F$6:$F$1000000,"2961")-SUMIFS(Donnees!$I$6:$I$1000000,Donnees!$B$6:$B$1000000,"B2",Donnees!$F$6:$F$1000000,"2961")</f>
        <v>7800</v>
      </c>
      <c r="H44" s="8">
        <f t="shared" ref="H44:H49" si="13">+C44-D44-E44-F44-G44</f>
        <v>286400</v>
      </c>
    </row>
    <row r="45" spans="2:8" ht="15" customHeight="1" x14ac:dyDescent="0.25">
      <c r="B45" s="9" t="s">
        <v>54</v>
      </c>
      <c r="C45" s="7">
        <f>+SUMIFS(Donnees!$I$6:$I$1000000,Donnees!$B$6:$B$1000000,"B1",Donnees!$E$6:$E$1000000,"265")-SUMIFS(Donnees!$J$6:$J$1000000,Donnees!$B$6:$B$1000000,"B1",Donnees!$E$6:$E$1000000,"265")</f>
        <v>0</v>
      </c>
      <c r="D45" s="7"/>
      <c r="E45" s="7"/>
      <c r="F45" s="7"/>
      <c r="G45" s="7"/>
      <c r="H45" s="8"/>
    </row>
    <row r="46" spans="2:8" ht="15" customHeight="1" x14ac:dyDescent="0.25">
      <c r="B46" s="9" t="s">
        <v>37</v>
      </c>
      <c r="C46" s="7">
        <f>+SUMIFS(Donnees!$I$6:$I$1000000,Donnees!$B$6:$B$1000000,"B1",Donnees!$E$6:$E$1000000,"266")-SUMIFS(Donnees!$J$6:$J$1000000,Donnees!$B$6:$B$1000000,"B1",Donnees!$E$6:$E$1000000,"266")</f>
        <v>0</v>
      </c>
      <c r="D46" s="7"/>
      <c r="E46" s="7"/>
      <c r="F46" s="7">
        <f>+SUMIFS(Donnees!$J$6:$J$1000000,Donnees!$B$6:$B$1000000,"B1",Donnees!$F$6:$F$1000000,"2966")-SUMIFS(Donnees!$I$6:$I$1000000,Donnees!$B$6:$B$1000000,"B1",Donnees!$F$6:$F$1000000,"2966")</f>
        <v>0</v>
      </c>
      <c r="G46" s="7">
        <f>+SUMIFS(Donnees!$J$6:$J$1000000,Donnees!$B$6:$B$1000000,"B2",Donnees!$F$6:$F$1000000,"2966")-SUMIFS(Donnees!$I$6:$I$1000000,Donnees!$B$6:$B$1000000,"B2",Donnees!$F$6:$F$1000000,"2966")</f>
        <v>0</v>
      </c>
      <c r="H46" s="8">
        <f t="shared" si="13"/>
        <v>0</v>
      </c>
    </row>
    <row r="47" spans="2:8" ht="15" customHeight="1" x14ac:dyDescent="0.25">
      <c r="B47" s="9" t="s">
        <v>38</v>
      </c>
      <c r="C47" s="7">
        <f>+SUMIFS(Donnees!$I$6:$I$1000000,Donnees!$B$6:$B$1000000,"B1",Donnees!$E$6:$E$1000000,"267")-SUMIFS(Donnees!$J$6:$J$1000000,Donnees!$B$6:$B$1000000,"B1",Donnees!$E$6:$E$1000000,"267")</f>
        <v>675000</v>
      </c>
      <c r="D47" s="7"/>
      <c r="E47" s="7"/>
      <c r="F47" s="7">
        <f>+SUMIFS(Donnees!$J$6:$J$1000000,Donnees!$B$6:$B$1000000,"B1",Donnees!$F$6:$F$1000000,"2967")-SUMIFS(Donnees!$I$6:$I$1000000,Donnees!$B$6:$B$1000000,"B1",Donnees!$F$6:$F$1000000,"2967")</f>
        <v>14000</v>
      </c>
      <c r="G47" s="7">
        <f>+SUMIFS(Donnees!$J$6:$J$1000000,Donnees!$B$6:$B$1000000,"B2",Donnees!$F$6:$F$1000000,"2967")-SUMIFS(Donnees!$I$6:$I$1000000,Donnees!$B$6:$B$1000000,"B2",Donnees!$F$6:$F$1000000,"2967")</f>
        <v>4890</v>
      </c>
      <c r="H47" s="8">
        <f t="shared" si="13"/>
        <v>656110</v>
      </c>
    </row>
    <row r="48" spans="2:8" ht="15" customHeight="1" x14ac:dyDescent="0.25">
      <c r="B48" s="9" t="s">
        <v>39</v>
      </c>
      <c r="C48" s="7">
        <f>+SUMIFS(Donnees!$I$6:$I$1000000,Donnees!$B$6:$B$1000000,"B1",Donnees!$E$6:$E$1000000,"268")-SUMIFS(Donnees!$J$6:$J$1000000,Donnees!$B$6:$B$1000000,"B1",Donnees!$E$6:$E$1000000,"268")</f>
        <v>0</v>
      </c>
      <c r="D48" s="7"/>
      <c r="E48" s="7"/>
      <c r="F48" s="7">
        <f>+SUMIFS(Donnees!$J$6:$J$1000000,Donnees!$B$6:$B$1000000,"B1",Donnees!$F$6:$F$1000000,"2968")-SUMIFS(Donnees!$I$6:$I$1000000,Donnees!$B$6:$B$1000000,"B1",Donnees!$F$6:$F$1000000,"2968")</f>
        <v>0</v>
      </c>
      <c r="G48" s="7">
        <f>+SUMIFS(Donnees!$J$6:$J$1000000,Donnees!$B$6:$B$1000000,"B2",Donnees!$F$6:$F$1000000,"2968")-SUMIFS(Donnees!$I$6:$I$1000000,Donnees!$B$6:$B$1000000,"B2",Donnees!$F$6:$F$1000000,"2968")</f>
        <v>0</v>
      </c>
      <c r="H48" s="8">
        <f t="shared" si="13"/>
        <v>0</v>
      </c>
    </row>
    <row r="49" spans="2:8" ht="15" customHeight="1" x14ac:dyDescent="0.25">
      <c r="B49" s="9" t="s">
        <v>40</v>
      </c>
      <c r="C49" s="7">
        <f>+SUMIFS(Donnees!$I$6:$I$1000000,Donnees!$B$6:$B$1000000,"B1",Donnees!$E$6:$E$1000000,"269")-SUMIFS(Donnees!$J$6:$J$1000000,Donnees!$B$6:$B$1000000,"B1",Donnees!$E$6:$E$1000000,"269")</f>
        <v>0</v>
      </c>
      <c r="D49" s="7"/>
      <c r="E49" s="7"/>
      <c r="F49" s="7">
        <f>+SUMIFS(Donnees!$J$6:$J$1000000,Donnees!$B$6:$B$1000000,"B1",Donnees!$F$6:$F$1000000,"2969")-SUMIFS(Donnees!$I$6:$I$1000000,Donnees!$B$6:$B$1000000,"B1",Donnees!$F$6:$F$1000000,"2969")</f>
        <v>0</v>
      </c>
      <c r="G49" s="7">
        <f>+SUMIFS(Donnees!$J$6:$J$1000000,Donnees!$B$6:$B$1000000,"B2",Donnees!$F$6:$F$1000000,"2969")-SUMIFS(Donnees!$I$6:$I$1000000,Donnees!$B$6:$B$1000000,"B2",Donnees!$F$6:$F$1000000,"2969")</f>
        <v>0</v>
      </c>
      <c r="H49" s="8">
        <f t="shared" si="13"/>
        <v>0</v>
      </c>
    </row>
    <row r="50" spans="2:8" ht="15" customHeight="1" x14ac:dyDescent="0.25">
      <c r="B50" s="22" t="s">
        <v>41</v>
      </c>
      <c r="C50" s="23">
        <f>SUM(C51:C58)</f>
        <v>375000</v>
      </c>
      <c r="D50" s="23">
        <f t="shared" ref="D50:H50" si="14">SUM(D51:D58)</f>
        <v>0</v>
      </c>
      <c r="E50" s="23">
        <f t="shared" si="14"/>
        <v>0</v>
      </c>
      <c r="F50" s="23">
        <f t="shared" si="14"/>
        <v>18900</v>
      </c>
      <c r="G50" s="23">
        <f t="shared" si="14"/>
        <v>14000</v>
      </c>
      <c r="H50" s="24">
        <f t="shared" si="14"/>
        <v>342100</v>
      </c>
    </row>
    <row r="51" spans="2:8" ht="15" customHeight="1" x14ac:dyDescent="0.25">
      <c r="B51" s="9" t="s">
        <v>42</v>
      </c>
      <c r="C51" s="7">
        <f>+SUMIFS(Donnees!$I$6:$I$1000000,Donnees!$B$6:$B$1000000,"B1",Donnees!$E$6:$E$1000000,"271")-SUMIFS(Donnees!$J$6:$J$1000000,Donnees!$B$6:$B$1000000,"B1",Donnees!$E$6:$E$1000000,"271")</f>
        <v>0</v>
      </c>
      <c r="D51" s="7"/>
      <c r="E51" s="7"/>
      <c r="F51" s="7">
        <f>+SUMIFS(Donnees!$J$6:$J$1000000,Donnees!$B$6:$B$1000000,"B1",Donnees!$F$6:$F$1000000,"2971")-SUMIFS(Donnees!$I$6:$I$1000000,Donnees!$B$6:$B$1000000,"B1",Donnees!$F$6:$F$1000000,"2971")</f>
        <v>0</v>
      </c>
      <c r="G51" s="7">
        <f>+SUMIFS(Donnees!$J$6:$J$1000000,Donnees!$B$6:$B$1000000,"B2",Donnees!$F$6:$F$1000000,"2971")-SUMIFS(Donnees!$I$6:$I$1000000,Donnees!$B$6:$B$1000000,"B2",Donnees!$F$6:$F$1000000,"2971")</f>
        <v>0</v>
      </c>
      <c r="H51" s="8">
        <f t="shared" ref="H51:H58" si="15">+C51-D51-E51-F51-G51</f>
        <v>0</v>
      </c>
    </row>
    <row r="52" spans="2:8" ht="15" customHeight="1" x14ac:dyDescent="0.25">
      <c r="B52" s="9" t="s">
        <v>43</v>
      </c>
      <c r="C52" s="7">
        <f>+SUMIFS(Donnees!$I$6:$I$1000000,Donnees!$B$6:$B$1000000,"B1",Donnees!$E$6:$E$1000000,"272")-SUMIFS(Donnees!$J$6:$J$1000000,Donnees!$B$6:$B$1000000,"B1",Donnees!$E$6:$E$1000000,"272")</f>
        <v>375000</v>
      </c>
      <c r="D52" s="7"/>
      <c r="E52" s="7"/>
      <c r="F52" s="7">
        <f>+SUMIFS(Donnees!$J$6:$J$1000000,Donnees!$B$6:$B$1000000,"B1",Donnees!$F$6:$F$1000000,"2972")-SUMIFS(Donnees!$I$6:$I$1000000,Donnees!$B$6:$B$1000000,"B1",Donnees!$F$6:$F$1000000,"2972")</f>
        <v>18900</v>
      </c>
      <c r="G52" s="7">
        <f>+SUMIFS(Donnees!$J$6:$J$1000000,Donnees!$B$6:$B$1000000,"B2",Donnees!$F$6:$F$1000000,"2972")-SUMIFS(Donnees!$I$6:$I$1000000,Donnees!$B$6:$B$1000000,"B2",Donnees!$F$6:$F$1000000,"2972")</f>
        <v>14000</v>
      </c>
      <c r="H52" s="8">
        <f t="shared" si="15"/>
        <v>342100</v>
      </c>
    </row>
    <row r="53" spans="2:8" ht="15" customHeight="1" x14ac:dyDescent="0.25">
      <c r="B53" s="9" t="s">
        <v>44</v>
      </c>
      <c r="C53" s="7">
        <f>+SUMIFS(Donnees!$I$6:$I$1000000,Donnees!$B$6:$B$1000000,"B1",Donnees!$E$6:$E$1000000,"273")-SUMIFS(Donnees!$J$6:$J$1000000,Donnees!$B$6:$B$1000000,"B1",Donnees!$E$6:$E$1000000,"273")</f>
        <v>0</v>
      </c>
      <c r="D53" s="7"/>
      <c r="E53" s="7"/>
      <c r="F53" s="7">
        <f>+SUMIFS(Donnees!$J$6:$J$1000000,Donnees!$B$6:$B$1000000,"B1",Donnees!$F$6:$F$1000000,#REF!)-SUMIFS(Donnees!$I$6:$I$1000000,Donnees!$B$6:$B$1000000,"B1",Donnees!$F$6:$F$1000000,#REF!)</f>
        <v>0</v>
      </c>
      <c r="G53" s="7">
        <f>+SUMIFS(Donnees!$J$6:$J$1000000,Donnees!$B$6:$B$1000000,"B2",Donnees!$F$6:$F$1000000,#REF!)-SUMIFS(Donnees!$I$6:$I$1000000,Donnees!$B$6:$B$1000000,"B2",Donnees!$F$6:$F$1000000,#REF!)</f>
        <v>0</v>
      </c>
      <c r="H53" s="8">
        <f t="shared" si="15"/>
        <v>0</v>
      </c>
    </row>
    <row r="54" spans="2:8" ht="15" customHeight="1" x14ac:dyDescent="0.25">
      <c r="B54" s="9" t="s">
        <v>45</v>
      </c>
      <c r="C54" s="7">
        <f>+SUMIFS(Donnees!$I$6:$I$1000000,Donnees!$B$6:$B$1000000,"B1",Donnees!$E$6:$E$1000000,"274")-SUMIFS(Donnees!$J$6:$J$1000000,Donnees!$B$6:$B$1000000,"B1",Donnees!$E$6:$E$1000000,"274")</f>
        <v>0</v>
      </c>
      <c r="D54" s="7"/>
      <c r="E54" s="7"/>
      <c r="F54" s="7">
        <f>+SUMIFS(Donnees!$J$6:$J$1000000,Donnees!$B$6:$B$1000000,"B1",Donnees!$F$6:$F$1000000,"2974")-SUMIFS(Donnees!$I$6:$I$1000000,Donnees!$B$6:$B$1000000,"B1",Donnees!$F$6:$F$1000000,"2974")</f>
        <v>0</v>
      </c>
      <c r="G54" s="7">
        <f>+SUMIFS(Donnees!$J$6:$J$1000000,Donnees!$B$6:$B$1000000,"B2",Donnees!$F$6:$F$1000000,"2974")-SUMIFS(Donnees!$I$6:$I$1000000,Donnees!$B$6:$B$1000000,"B2",Donnees!$F$6:$F$1000000,"2974")</f>
        <v>0</v>
      </c>
      <c r="H54" s="8">
        <f t="shared" si="15"/>
        <v>0</v>
      </c>
    </row>
    <row r="55" spans="2:8" ht="15" customHeight="1" x14ac:dyDescent="0.25">
      <c r="B55" s="9" t="s">
        <v>46</v>
      </c>
      <c r="C55" s="7">
        <f>+SUMIFS(Donnees!$I$6:$I$1000000,Donnees!$B$6:$B$1000000,"B1",Donnees!$E$6:$E$1000000,"275")-SUMIFS(Donnees!$J$6:$J$1000000,Donnees!$B$6:$B$1000000,"B1",Donnees!$E$6:$E$1000000,"275")</f>
        <v>0</v>
      </c>
      <c r="D55" s="7"/>
      <c r="E55" s="7"/>
      <c r="F55" s="7">
        <f>+SUMIFS(Donnees!$J$6:$J$1000000,Donnees!$B$6:$B$1000000,"B1",Donnees!$F$6:$F$1000000,"2975")-SUMIFS(Donnees!$I$6:$I$1000000,Donnees!$B$6:$B$1000000,"B1",Donnees!$F$6:$F$1000000,"2975")</f>
        <v>0</v>
      </c>
      <c r="G55" s="7">
        <f>+SUMIFS(Donnees!$J$6:$J$1000000,Donnees!$B$6:$B$1000000,"B2",Donnees!$F$6:$F$1000000,"2975")-SUMIFS(Donnees!$I$6:$I$1000000,Donnees!$B$6:$B$1000000,"B2",Donnees!$F$6:$F$1000000,"2975")</f>
        <v>0</v>
      </c>
      <c r="H55" s="8">
        <f t="shared" si="15"/>
        <v>0</v>
      </c>
    </row>
    <row r="56" spans="2:8" ht="15" customHeight="1" x14ac:dyDescent="0.25">
      <c r="B56" s="9" t="s">
        <v>47</v>
      </c>
      <c r="C56" s="7">
        <f>+SUMIFS(Donnees!$I$6:$I$1000000,Donnees!$B$6:$B$1000000,"B1",Donnees!$E$6:$E$1000000,"276")-SUMIFS(Donnees!$J$6:$J$1000000,Donnees!$B$6:$B$1000000,"B1",Donnees!$E$6:$E$1000000,"276")</f>
        <v>0</v>
      </c>
      <c r="D56" s="7"/>
      <c r="E56" s="7"/>
      <c r="F56" s="7">
        <f>+SUMIFS(Donnees!$J$6:$J$1000000,Donnees!$B$6:$B$1000000,"B1",Donnees!$F$6:$F$1000000,"2976")-SUMIFS(Donnees!$I$6:$I$1000000,Donnees!$B$6:$B$1000000,"B1",Donnees!$F$6:$F$1000000,"2976")</f>
        <v>0</v>
      </c>
      <c r="G56" s="7">
        <f>+SUMIFS(Donnees!$J$6:$J$1000000,Donnees!$B$6:$B$1000000,"B2",Donnees!$F$6:$F$1000000,"2976")-SUMIFS(Donnees!$I$6:$I$1000000,Donnees!$B$6:$B$1000000,"B2",Donnees!$F$6:$F$1000000,"2976")</f>
        <v>0</v>
      </c>
      <c r="H56" s="8">
        <f t="shared" si="15"/>
        <v>0</v>
      </c>
    </row>
    <row r="57" spans="2:8" ht="15" customHeight="1" x14ac:dyDescent="0.25">
      <c r="B57" s="9" t="s">
        <v>48</v>
      </c>
      <c r="C57" s="7">
        <f>+SUMIFS(Donnees!$I$6:$I$1000000,Donnees!$B$6:$B$1000000,"B1",Donnees!$E$6:$E$1000000,"277")-SUMIFS(Donnees!$J$6:$J$1000000,Donnees!$B$6:$B$1000000,"B1",Donnees!$E$6:$E$1000000,"277")</f>
        <v>0</v>
      </c>
      <c r="D57" s="7"/>
      <c r="E57" s="7"/>
      <c r="F57" s="7">
        <f>+SUMIFS(Donnees!$J$6:$J$1000000,Donnees!$B$6:$B$1000000,"B1",Donnees!$F$6:$F$1000000,"2977")-SUMIFS(Donnees!$I$6:$I$1000000,Donnees!$B$6:$B$1000000,"B1",Donnees!$F$6:$F$1000000,"2977")</f>
        <v>0</v>
      </c>
      <c r="G57" s="7">
        <f>+SUMIFS(Donnees!$J$6:$J$1000000,Donnees!$B$6:$B$1000000,"B2",Donnees!$F$6:$F$1000000,"2977")-SUMIFS(Donnees!$I$6:$I$1000000,Donnees!$B$6:$B$1000000,"B2",Donnees!$F$6:$F$1000000,"2977")</f>
        <v>0</v>
      </c>
      <c r="H57" s="8">
        <f t="shared" si="15"/>
        <v>0</v>
      </c>
    </row>
    <row r="58" spans="2:8" ht="15" customHeight="1" thickBot="1" x14ac:dyDescent="0.3">
      <c r="B58" s="9" t="s">
        <v>49</v>
      </c>
      <c r="C58" s="7">
        <f>+SUMIFS(Donnees!$I$6:$I$1000000,Donnees!$B$6:$B$1000000,"B1",Donnees!$E$6:$E$1000000,"279")-SUMIFS(Donnees!$J$6:$J$1000000,Donnees!$B$6:$B$1000000,"B1",Donnees!$E$6:$E$1000000,"279")</f>
        <v>0</v>
      </c>
      <c r="D58" s="7"/>
      <c r="E58" s="7"/>
      <c r="F58" s="7">
        <f>+SUMIFS(Donnees!$J$6:$J$1000000,Donnees!$B$6:$B$1000000,"B1",Donnees!$F$6:$F$1000000,"2979")-SUMIFS(Donnees!$I$6:$I$1000000,Donnees!$B$6:$B$1000000,"B1",Donnees!$F$6:$F$1000000,"2979")</f>
        <v>0</v>
      </c>
      <c r="G58" s="7">
        <f>+SUMIFS(Donnees!$J$6:$J$1000000,Donnees!$B$6:$B$1000000,"B2",Donnees!$F$6:$F$1000000,"2979")-SUMIFS(Donnees!$I$6:$I$1000000,Donnees!$B$6:$B$1000000,"B2",Donnees!$F$6:$F$1000000,"2979")</f>
        <v>0</v>
      </c>
      <c r="H58" s="8">
        <f t="shared" si="15"/>
        <v>0</v>
      </c>
    </row>
    <row r="59" spans="2:8" ht="15" customHeight="1" thickBot="1" x14ac:dyDescent="0.3">
      <c r="B59" s="25" t="s">
        <v>50</v>
      </c>
      <c r="C59" s="26">
        <f>+C50+C43+C37+C35+C29+C26+C17+C10</f>
        <v>4132000</v>
      </c>
      <c r="D59" s="26">
        <f t="shared" ref="D59:H59" si="16">+D50+D43+D37+D35+D29+D26+D17+D10</f>
        <v>89880</v>
      </c>
      <c r="E59" s="26">
        <f t="shared" si="16"/>
        <v>34900</v>
      </c>
      <c r="F59" s="26">
        <f t="shared" si="16"/>
        <v>70400</v>
      </c>
      <c r="G59" s="26">
        <f t="shared" si="16"/>
        <v>46170</v>
      </c>
      <c r="H59" s="27">
        <f t="shared" si="16"/>
        <v>3890650</v>
      </c>
    </row>
    <row r="60" spans="2:8" ht="15" customHeight="1" x14ac:dyDescent="0.25"/>
    <row r="61" spans="2:8" ht="15" customHeight="1" x14ac:dyDescent="0.25"/>
    <row r="62" spans="2:8" ht="15" customHeight="1" x14ac:dyDescent="0.25"/>
    <row r="63" spans="2:8" ht="15" customHeight="1" x14ac:dyDescent="0.25"/>
    <row r="64" spans="2:8" ht="15" customHeight="1" x14ac:dyDescent="0.25"/>
  </sheetData>
  <mergeCells count="5">
    <mergeCell ref="B2:H2"/>
    <mergeCell ref="B4:H4"/>
    <mergeCell ref="D8:E8"/>
    <mergeCell ref="F8:G8"/>
    <mergeCell ref="B6:H6"/>
  </mergeCells>
  <pageMargins left="0.7" right="0.7" top="0.75" bottom="0.75" header="0.3" footer="0.3"/>
  <pageSetup paperSize="9" scale="45" orientation="portrait" r:id="rId1"/>
  <ignoredErrors>
    <ignoredError sqref="C50:H50 C43:H43 C29:H29 C26:H26 C17:H17 C37:H37 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F4" sqref="F4"/>
    </sheetView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1" max="11" width="13.5703125" hidden="1" customWidth="1"/>
    <col min="12" max="12" width="11.42578125" hidden="1" customWidth="1"/>
    <col min="13" max="13" width="18.5703125" hidden="1" customWidth="1"/>
    <col min="14" max="22" width="11.42578125" hidden="1" customWidth="1"/>
  </cols>
  <sheetData>
    <row r="1" spans="1:22" s="1" customFormat="1" x14ac:dyDescent="0.25">
      <c r="A1" s="1" t="s">
        <v>57</v>
      </c>
      <c r="B1" s="29" t="str">
        <f>K6</f>
        <v>INDPUB</v>
      </c>
      <c r="C1" s="29" t="str">
        <f>L6</f>
        <v>Qualiac développement</v>
      </c>
      <c r="D1" s="1" t="s">
        <v>61</v>
      </c>
      <c r="E1" s="29" t="str">
        <f>M6</f>
        <v>2015</v>
      </c>
    </row>
    <row r="2" spans="1:22" s="1" customFormat="1" x14ac:dyDescent="0.25">
      <c r="A2" s="1" t="s">
        <v>58</v>
      </c>
      <c r="B2" s="29" t="str">
        <f>N6</f>
        <v>ETB</v>
      </c>
      <c r="C2" s="29" t="str">
        <f>O6</f>
        <v>Etablissement Ordonateur Principal</v>
      </c>
      <c r="D2" s="1" t="s">
        <v>62</v>
      </c>
      <c r="E2" s="29" t="str">
        <f>P6</f>
        <v>OR</v>
      </c>
    </row>
    <row r="3" spans="1:22" s="1" customFormat="1" x14ac:dyDescent="0.25">
      <c r="A3" s="1" t="s">
        <v>59</v>
      </c>
      <c r="B3" s="29" t="str">
        <f>Q6</f>
        <v>2</v>
      </c>
      <c r="C3" s="29" t="str">
        <f>R6</f>
        <v>COMPTES D'IMMOBILISATIONS</v>
      </c>
      <c r="D3" s="1" t="s">
        <v>62</v>
      </c>
      <c r="E3" s="29" t="str">
        <f>S6</f>
        <v>TF</v>
      </c>
    </row>
    <row r="4" spans="1:22" s="1" customFormat="1" x14ac:dyDescent="0.25">
      <c r="A4" s="1" t="s">
        <v>60</v>
      </c>
      <c r="B4" s="29" t="str">
        <f>T6</f>
        <v>198578</v>
      </c>
      <c r="C4" s="1" t="s">
        <v>63</v>
      </c>
      <c r="D4" s="29" t="str">
        <f>U6</f>
        <v>PRPUB</v>
      </c>
      <c r="E4" s="1" t="s">
        <v>64</v>
      </c>
      <c r="F4" s="4" t="str">
        <f>V6</f>
        <v>06/08/2015</v>
      </c>
    </row>
    <row r="5" spans="1:22" s="1" customFormat="1" x14ac:dyDescent="0.25">
      <c r="A5" s="1" t="s">
        <v>65</v>
      </c>
      <c r="B5" s="1" t="s">
        <v>66</v>
      </c>
      <c r="C5" s="4" t="s">
        <v>67</v>
      </c>
      <c r="D5" s="1" t="s">
        <v>68</v>
      </c>
      <c r="E5" s="1" t="s">
        <v>69</v>
      </c>
      <c r="F5" s="1" t="s">
        <v>70</v>
      </c>
      <c r="G5" s="1" t="s">
        <v>71</v>
      </c>
      <c r="H5" s="1" t="s">
        <v>72</v>
      </c>
      <c r="I5" s="1" t="s">
        <v>73</v>
      </c>
      <c r="J5" s="1" t="s">
        <v>74</v>
      </c>
      <c r="K5" s="1" t="s">
        <v>75</v>
      </c>
      <c r="L5" s="1" t="s">
        <v>76</v>
      </c>
      <c r="M5" s="1" t="s">
        <v>77</v>
      </c>
      <c r="N5" s="1" t="s">
        <v>78</v>
      </c>
      <c r="O5" s="1" t="s">
        <v>76</v>
      </c>
      <c r="P5" s="1" t="s">
        <v>79</v>
      </c>
      <c r="Q5" s="1" t="s">
        <v>67</v>
      </c>
      <c r="R5" s="1" t="s">
        <v>76</v>
      </c>
      <c r="S5" s="1" t="s">
        <v>79</v>
      </c>
      <c r="T5" s="1" t="s">
        <v>80</v>
      </c>
      <c r="U5" s="1" t="s">
        <v>81</v>
      </c>
      <c r="V5" s="1" t="s">
        <v>82</v>
      </c>
    </row>
    <row r="6" spans="1:22" x14ac:dyDescent="0.25">
      <c r="A6" s="1" t="s">
        <v>83</v>
      </c>
      <c r="B6" s="1" t="s">
        <v>84</v>
      </c>
      <c r="C6" s="1" t="s">
        <v>85</v>
      </c>
      <c r="D6" s="1" t="s">
        <v>86</v>
      </c>
      <c r="E6" s="1" t="s">
        <v>85</v>
      </c>
      <c r="F6" s="30"/>
      <c r="I6" s="2">
        <v>60000</v>
      </c>
      <c r="J6" s="2">
        <v>0</v>
      </c>
      <c r="K6" s="3" t="s">
        <v>87</v>
      </c>
      <c r="L6" s="3" t="s">
        <v>88</v>
      </c>
      <c r="M6" s="3" t="s">
        <v>89</v>
      </c>
      <c r="N6" s="3" t="s">
        <v>90</v>
      </c>
      <c r="O6" s="3" t="s">
        <v>91</v>
      </c>
      <c r="P6" s="3" t="s">
        <v>92</v>
      </c>
      <c r="Q6" s="3" t="s">
        <v>93</v>
      </c>
      <c r="R6" s="3" t="s">
        <v>94</v>
      </c>
      <c r="S6" s="3" t="s">
        <v>95</v>
      </c>
      <c r="T6" s="3" t="s">
        <v>96</v>
      </c>
      <c r="U6" s="3" t="s">
        <v>97</v>
      </c>
      <c r="V6" s="38" t="s">
        <v>141</v>
      </c>
    </row>
    <row r="7" spans="1:22" x14ac:dyDescent="0.25">
      <c r="A7" s="1" t="s">
        <v>83</v>
      </c>
      <c r="B7" s="1" t="s">
        <v>84</v>
      </c>
      <c r="C7" s="1" t="s">
        <v>98</v>
      </c>
      <c r="D7" s="1" t="s">
        <v>86</v>
      </c>
      <c r="E7" s="1" t="s">
        <v>98</v>
      </c>
      <c r="F7" s="30"/>
      <c r="I7" s="2">
        <v>120000</v>
      </c>
      <c r="J7" s="2">
        <v>0</v>
      </c>
    </row>
    <row r="8" spans="1:22" x14ac:dyDescent="0.25">
      <c r="A8" s="1" t="s">
        <v>83</v>
      </c>
      <c r="B8" s="1" t="s">
        <v>84</v>
      </c>
      <c r="C8" s="1" t="s">
        <v>99</v>
      </c>
      <c r="D8" s="1" t="s">
        <v>100</v>
      </c>
      <c r="E8" s="1" t="s">
        <v>99</v>
      </c>
      <c r="F8" s="30"/>
      <c r="I8" s="2">
        <v>799945</v>
      </c>
      <c r="J8" s="2">
        <v>700000</v>
      </c>
    </row>
    <row r="9" spans="1:22" x14ac:dyDescent="0.25">
      <c r="A9" s="1" t="s">
        <v>83</v>
      </c>
      <c r="B9" s="1" t="s">
        <v>84</v>
      </c>
      <c r="C9" s="1" t="s">
        <v>101</v>
      </c>
      <c r="D9" s="1" t="s">
        <v>100</v>
      </c>
      <c r="E9" s="1" t="s">
        <v>101</v>
      </c>
      <c r="F9" s="30"/>
      <c r="I9" s="2">
        <v>2000000</v>
      </c>
      <c r="J9" s="2">
        <v>364000</v>
      </c>
    </row>
    <row r="10" spans="1:22" x14ac:dyDescent="0.25">
      <c r="A10" s="1" t="s">
        <v>83</v>
      </c>
      <c r="B10" s="1" t="s">
        <v>84</v>
      </c>
      <c r="C10" s="1" t="s">
        <v>102</v>
      </c>
      <c r="D10" s="1" t="s">
        <v>103</v>
      </c>
      <c r="E10" s="1" t="s">
        <v>102</v>
      </c>
      <c r="F10" s="30"/>
      <c r="I10" s="2">
        <v>120000</v>
      </c>
      <c r="J10" s="2">
        <v>0</v>
      </c>
    </row>
    <row r="11" spans="1:22" x14ac:dyDescent="0.25">
      <c r="A11" s="1" t="s">
        <v>83</v>
      </c>
      <c r="B11" s="1" t="s">
        <v>84</v>
      </c>
      <c r="C11" s="1" t="s">
        <v>104</v>
      </c>
      <c r="D11" s="1" t="s">
        <v>103</v>
      </c>
      <c r="E11" s="1" t="s">
        <v>104</v>
      </c>
      <c r="F11" s="30"/>
      <c r="I11" s="2">
        <v>225600</v>
      </c>
      <c r="J11" s="2">
        <v>0</v>
      </c>
    </row>
    <row r="12" spans="1:22" x14ac:dyDescent="0.25">
      <c r="A12" s="1" t="s">
        <v>83</v>
      </c>
      <c r="B12" s="1" t="s">
        <v>84</v>
      </c>
      <c r="C12" s="1" t="s">
        <v>105</v>
      </c>
      <c r="D12" s="1" t="s">
        <v>106</v>
      </c>
      <c r="E12" s="1" t="s">
        <v>105</v>
      </c>
      <c r="F12" s="30"/>
      <c r="I12" s="2">
        <v>480000</v>
      </c>
      <c r="J12" s="2">
        <v>0</v>
      </c>
    </row>
    <row r="13" spans="1:22" x14ac:dyDescent="0.25">
      <c r="A13" s="1" t="s">
        <v>83</v>
      </c>
      <c r="B13" s="1" t="s">
        <v>84</v>
      </c>
      <c r="C13" s="1" t="s">
        <v>107</v>
      </c>
      <c r="D13" s="1" t="s">
        <v>106</v>
      </c>
      <c r="E13" s="1" t="s">
        <v>107</v>
      </c>
      <c r="F13" s="30"/>
      <c r="I13" s="2">
        <v>1080000</v>
      </c>
      <c r="J13" s="2">
        <v>0</v>
      </c>
    </row>
    <row r="14" spans="1:22" x14ac:dyDescent="0.25">
      <c r="A14" s="1" t="s">
        <v>83</v>
      </c>
      <c r="B14" s="1" t="s">
        <v>84</v>
      </c>
      <c r="C14" s="1" t="s">
        <v>108</v>
      </c>
      <c r="D14" s="1" t="s">
        <v>109</v>
      </c>
      <c r="E14" s="1" t="s">
        <v>108</v>
      </c>
      <c r="F14" s="30"/>
      <c r="I14" s="2">
        <v>600000</v>
      </c>
      <c r="J14" s="2">
        <v>0</v>
      </c>
    </row>
    <row r="15" spans="1:22" x14ac:dyDescent="0.25">
      <c r="A15" s="1" t="s">
        <v>83</v>
      </c>
      <c r="B15" s="1" t="s">
        <v>84</v>
      </c>
      <c r="C15" s="1" t="s">
        <v>110</v>
      </c>
      <c r="D15" s="1" t="s">
        <v>111</v>
      </c>
      <c r="E15" s="1" t="s">
        <v>112</v>
      </c>
      <c r="F15" s="30">
        <v>2801</v>
      </c>
      <c r="I15" s="2">
        <v>0</v>
      </c>
      <c r="J15" s="2">
        <v>10000</v>
      </c>
    </row>
    <row r="16" spans="1:22" x14ac:dyDescent="0.25">
      <c r="A16" s="1" t="s">
        <v>83</v>
      </c>
      <c r="B16" s="1" t="s">
        <v>84</v>
      </c>
      <c r="C16" s="1" t="s">
        <v>113</v>
      </c>
      <c r="D16" s="1" t="s">
        <v>111</v>
      </c>
      <c r="E16" s="1" t="s">
        <v>112</v>
      </c>
      <c r="F16" s="30">
        <v>2803</v>
      </c>
      <c r="I16" s="2">
        <v>0</v>
      </c>
      <c r="J16" s="2">
        <v>2000</v>
      </c>
    </row>
    <row r="17" spans="1:10" x14ac:dyDescent="0.25">
      <c r="A17" s="1" t="s">
        <v>83</v>
      </c>
      <c r="B17" s="1" t="s">
        <v>84</v>
      </c>
      <c r="C17" s="1" t="s">
        <v>114</v>
      </c>
      <c r="D17" s="1" t="s">
        <v>111</v>
      </c>
      <c r="E17" s="1" t="s">
        <v>112</v>
      </c>
      <c r="F17" s="30">
        <v>2806</v>
      </c>
      <c r="I17" s="2">
        <v>0</v>
      </c>
      <c r="J17" s="2">
        <v>8960</v>
      </c>
    </row>
    <row r="18" spans="1:10" x14ac:dyDescent="0.25">
      <c r="A18" s="1" t="s">
        <v>83</v>
      </c>
      <c r="B18" s="1" t="s">
        <v>84</v>
      </c>
      <c r="C18" s="1" t="s">
        <v>115</v>
      </c>
      <c r="D18" s="1" t="s">
        <v>111</v>
      </c>
      <c r="E18" s="1" t="s">
        <v>112</v>
      </c>
      <c r="F18" s="30">
        <v>2811</v>
      </c>
      <c r="I18" s="2">
        <v>0</v>
      </c>
      <c r="J18" s="2">
        <v>5200</v>
      </c>
    </row>
    <row r="19" spans="1:10" x14ac:dyDescent="0.25">
      <c r="A19" s="1" t="s">
        <v>83</v>
      </c>
      <c r="B19" s="1" t="s">
        <v>84</v>
      </c>
      <c r="C19" s="1" t="s">
        <v>116</v>
      </c>
      <c r="D19" s="1" t="s">
        <v>111</v>
      </c>
      <c r="E19" s="1" t="s">
        <v>112</v>
      </c>
      <c r="F19" s="30">
        <v>2813</v>
      </c>
      <c r="I19" s="2">
        <v>0</v>
      </c>
      <c r="J19" s="2">
        <v>8740</v>
      </c>
    </row>
    <row r="20" spans="1:10" x14ac:dyDescent="0.25">
      <c r="A20" s="1" t="s">
        <v>83</v>
      </c>
      <c r="B20" s="1" t="s">
        <v>84</v>
      </c>
      <c r="C20" s="1" t="s">
        <v>117</v>
      </c>
      <c r="D20" s="1" t="s">
        <v>118</v>
      </c>
      <c r="E20" s="1" t="s">
        <v>119</v>
      </c>
      <c r="F20" s="31" t="s">
        <v>117</v>
      </c>
      <c r="I20" s="2">
        <v>0</v>
      </c>
      <c r="J20" s="2">
        <v>4000</v>
      </c>
    </row>
    <row r="21" spans="1:10" x14ac:dyDescent="0.25">
      <c r="A21" s="1" t="s">
        <v>83</v>
      </c>
      <c r="B21" s="1" t="s">
        <v>84</v>
      </c>
      <c r="C21" s="1" t="s">
        <v>120</v>
      </c>
      <c r="D21" s="1" t="s">
        <v>118</v>
      </c>
      <c r="E21" s="1" t="s">
        <v>119</v>
      </c>
      <c r="F21" s="31" t="s">
        <v>120</v>
      </c>
      <c r="I21" s="2">
        <v>0</v>
      </c>
      <c r="J21" s="2">
        <v>1290</v>
      </c>
    </row>
    <row r="22" spans="1:10" x14ac:dyDescent="0.25">
      <c r="A22" s="1" t="s">
        <v>83</v>
      </c>
      <c r="B22" s="1" t="s">
        <v>84</v>
      </c>
      <c r="C22" s="1" t="s">
        <v>121</v>
      </c>
      <c r="D22" s="1" t="s">
        <v>118</v>
      </c>
      <c r="E22" s="1" t="s">
        <v>119</v>
      </c>
      <c r="F22" s="31" t="s">
        <v>121</v>
      </c>
      <c r="I22" s="2">
        <v>0</v>
      </c>
      <c r="J22" s="2">
        <v>8900</v>
      </c>
    </row>
    <row r="23" spans="1:10" x14ac:dyDescent="0.25">
      <c r="A23" s="1" t="s">
        <v>83</v>
      </c>
      <c r="B23" s="1" t="s">
        <v>84</v>
      </c>
      <c r="C23" s="1" t="s">
        <v>122</v>
      </c>
      <c r="D23" s="1" t="s">
        <v>118</v>
      </c>
      <c r="E23" s="1" t="s">
        <v>123</v>
      </c>
      <c r="F23" s="31" t="s">
        <v>122</v>
      </c>
      <c r="I23" s="2">
        <v>0</v>
      </c>
      <c r="J23" s="2">
        <v>1400</v>
      </c>
    </row>
    <row r="24" spans="1:10" x14ac:dyDescent="0.25">
      <c r="A24" s="1" t="s">
        <v>83</v>
      </c>
      <c r="B24" s="1" t="s">
        <v>84</v>
      </c>
      <c r="C24" s="1" t="s">
        <v>124</v>
      </c>
      <c r="D24" s="1" t="s">
        <v>118</v>
      </c>
      <c r="E24" s="1" t="s">
        <v>123</v>
      </c>
      <c r="F24" s="31" t="s">
        <v>124</v>
      </c>
      <c r="I24" s="2">
        <v>0</v>
      </c>
      <c r="J24" s="2">
        <v>2890</v>
      </c>
    </row>
    <row r="25" spans="1:10" x14ac:dyDescent="0.25">
      <c r="A25" s="1" t="s">
        <v>83</v>
      </c>
      <c r="B25" s="1" t="s">
        <v>84</v>
      </c>
      <c r="C25" s="1" t="s">
        <v>125</v>
      </c>
      <c r="D25" s="1" t="s">
        <v>118</v>
      </c>
      <c r="E25" s="1" t="s">
        <v>126</v>
      </c>
      <c r="F25" s="31" t="s">
        <v>125</v>
      </c>
      <c r="I25" s="2">
        <v>0</v>
      </c>
      <c r="J25" s="2">
        <v>1000</v>
      </c>
    </row>
    <row r="26" spans="1:10" x14ac:dyDescent="0.25">
      <c r="A26" s="1" t="s">
        <v>83</v>
      </c>
      <c r="B26" s="1" t="s">
        <v>84</v>
      </c>
      <c r="C26" s="1" t="s">
        <v>127</v>
      </c>
      <c r="D26" s="1" t="s">
        <v>118</v>
      </c>
      <c r="E26" s="1" t="s">
        <v>128</v>
      </c>
      <c r="F26" s="31" t="s">
        <v>127</v>
      </c>
      <c r="I26" s="2">
        <v>0</v>
      </c>
      <c r="J26" s="2">
        <v>7800</v>
      </c>
    </row>
    <row r="27" spans="1:10" x14ac:dyDescent="0.25">
      <c r="A27" s="1" t="s">
        <v>83</v>
      </c>
      <c r="B27" s="1" t="s">
        <v>84</v>
      </c>
      <c r="C27" s="1" t="s">
        <v>129</v>
      </c>
      <c r="D27" s="1" t="s">
        <v>118</v>
      </c>
      <c r="E27" s="1" t="s">
        <v>128</v>
      </c>
      <c r="F27" s="31" t="s">
        <v>129</v>
      </c>
      <c r="I27" s="2">
        <v>0</v>
      </c>
      <c r="J27" s="2">
        <v>4890</v>
      </c>
    </row>
    <row r="28" spans="1:10" x14ac:dyDescent="0.25">
      <c r="A28" s="1" t="s">
        <v>83</v>
      </c>
      <c r="B28" s="1" t="s">
        <v>84</v>
      </c>
      <c r="C28" s="1" t="s">
        <v>130</v>
      </c>
      <c r="D28" s="1" t="s">
        <v>118</v>
      </c>
      <c r="E28" s="1" t="s">
        <v>131</v>
      </c>
      <c r="F28" s="31" t="s">
        <v>130</v>
      </c>
      <c r="I28" s="2">
        <v>0</v>
      </c>
      <c r="J28" s="2">
        <v>14000</v>
      </c>
    </row>
    <row r="29" spans="1:10" x14ac:dyDescent="0.25">
      <c r="A29" s="1" t="s">
        <v>132</v>
      </c>
      <c r="B29" s="1" t="s">
        <v>133</v>
      </c>
      <c r="C29" s="1" t="s">
        <v>85</v>
      </c>
      <c r="D29" s="1" t="s">
        <v>86</v>
      </c>
      <c r="E29" s="1" t="s">
        <v>85</v>
      </c>
      <c r="F29" s="30"/>
      <c r="I29" s="2">
        <v>104000</v>
      </c>
      <c r="J29" s="2">
        <v>0</v>
      </c>
    </row>
    <row r="30" spans="1:10" x14ac:dyDescent="0.25">
      <c r="A30" s="1" t="s">
        <v>132</v>
      </c>
      <c r="B30" s="1" t="s">
        <v>133</v>
      </c>
      <c r="C30" s="1" t="s">
        <v>98</v>
      </c>
      <c r="D30" s="1" t="s">
        <v>86</v>
      </c>
      <c r="E30" s="1" t="s">
        <v>98</v>
      </c>
      <c r="F30" s="30"/>
      <c r="I30" s="2">
        <v>120000</v>
      </c>
      <c r="J30" s="2">
        <v>0</v>
      </c>
    </row>
    <row r="31" spans="1:10" x14ac:dyDescent="0.25">
      <c r="A31" s="1" t="s">
        <v>132</v>
      </c>
      <c r="B31" s="1" t="s">
        <v>133</v>
      </c>
      <c r="C31" s="1" t="s">
        <v>134</v>
      </c>
      <c r="D31" s="1" t="s">
        <v>86</v>
      </c>
      <c r="E31" s="1" t="s">
        <v>134</v>
      </c>
      <c r="F31" s="30"/>
      <c r="I31" s="2">
        <v>40000</v>
      </c>
      <c r="J31" s="2">
        <v>0</v>
      </c>
    </row>
    <row r="32" spans="1:10" x14ac:dyDescent="0.25">
      <c r="A32" s="1" t="s">
        <v>132</v>
      </c>
      <c r="B32" s="1" t="s">
        <v>133</v>
      </c>
      <c r="C32" s="1" t="s">
        <v>99</v>
      </c>
      <c r="D32" s="1" t="s">
        <v>100</v>
      </c>
      <c r="E32" s="1" t="s">
        <v>99</v>
      </c>
      <c r="F32" s="30"/>
      <c r="I32" s="2">
        <v>750000</v>
      </c>
      <c r="J32" s="2">
        <v>0</v>
      </c>
    </row>
    <row r="33" spans="1:10" x14ac:dyDescent="0.25">
      <c r="A33" s="1" t="s">
        <v>132</v>
      </c>
      <c r="B33" s="1" t="s">
        <v>133</v>
      </c>
      <c r="C33" s="1" t="s">
        <v>101</v>
      </c>
      <c r="D33" s="1" t="s">
        <v>100</v>
      </c>
      <c r="E33" s="1" t="s">
        <v>101</v>
      </c>
      <c r="F33" s="30"/>
      <c r="I33" s="2">
        <v>1500000</v>
      </c>
      <c r="J33" s="2">
        <v>0</v>
      </c>
    </row>
    <row r="34" spans="1:10" x14ac:dyDescent="0.25">
      <c r="A34" s="1" t="s">
        <v>132</v>
      </c>
      <c r="B34" s="1" t="s">
        <v>133</v>
      </c>
      <c r="C34" s="1" t="s">
        <v>135</v>
      </c>
      <c r="D34" s="1" t="s">
        <v>136</v>
      </c>
      <c r="E34" s="1" t="s">
        <v>135</v>
      </c>
      <c r="F34" s="30"/>
      <c r="I34" s="2">
        <v>12000</v>
      </c>
      <c r="J34" s="2">
        <v>0</v>
      </c>
    </row>
    <row r="35" spans="1:10" x14ac:dyDescent="0.25">
      <c r="A35" s="1" t="s">
        <v>132</v>
      </c>
      <c r="B35" s="1" t="s">
        <v>133</v>
      </c>
      <c r="C35" s="1" t="s">
        <v>102</v>
      </c>
      <c r="D35" s="1" t="s">
        <v>103</v>
      </c>
      <c r="E35" s="1" t="s">
        <v>102</v>
      </c>
      <c r="F35" s="30"/>
      <c r="I35" s="2">
        <v>75000</v>
      </c>
      <c r="J35" s="2">
        <v>0</v>
      </c>
    </row>
    <row r="36" spans="1:10" x14ac:dyDescent="0.25">
      <c r="A36" s="1" t="s">
        <v>132</v>
      </c>
      <c r="B36" s="1" t="s">
        <v>133</v>
      </c>
      <c r="C36" s="1" t="s">
        <v>102</v>
      </c>
      <c r="D36" s="1" t="s">
        <v>103</v>
      </c>
      <c r="E36" s="1" t="s">
        <v>102</v>
      </c>
      <c r="F36" s="30"/>
      <c r="I36" s="2">
        <v>40000</v>
      </c>
      <c r="J36" s="2">
        <v>0</v>
      </c>
    </row>
    <row r="37" spans="1:10" x14ac:dyDescent="0.25">
      <c r="A37" s="1" t="s">
        <v>132</v>
      </c>
      <c r="B37" s="1" t="s">
        <v>133</v>
      </c>
      <c r="C37" s="1" t="s">
        <v>104</v>
      </c>
      <c r="D37" s="1" t="s">
        <v>103</v>
      </c>
      <c r="E37" s="1" t="s">
        <v>104</v>
      </c>
      <c r="F37" s="30"/>
      <c r="I37" s="2">
        <v>141000</v>
      </c>
      <c r="J37" s="2">
        <v>0</v>
      </c>
    </row>
    <row r="38" spans="1:10" x14ac:dyDescent="0.25">
      <c r="A38" s="1" t="s">
        <v>132</v>
      </c>
      <c r="B38" s="1" t="s">
        <v>133</v>
      </c>
      <c r="C38" s="1" t="s">
        <v>105</v>
      </c>
      <c r="D38" s="1" t="s">
        <v>106</v>
      </c>
      <c r="E38" s="1" t="s">
        <v>105</v>
      </c>
      <c r="F38" s="30"/>
      <c r="I38" s="2">
        <v>300000</v>
      </c>
      <c r="J38" s="2">
        <v>0</v>
      </c>
    </row>
    <row r="39" spans="1:10" x14ac:dyDescent="0.25">
      <c r="A39" s="1" t="s">
        <v>132</v>
      </c>
      <c r="B39" s="1" t="s">
        <v>133</v>
      </c>
      <c r="C39" s="1" t="s">
        <v>107</v>
      </c>
      <c r="D39" s="1" t="s">
        <v>106</v>
      </c>
      <c r="E39" s="1" t="s">
        <v>107</v>
      </c>
      <c r="F39" s="30"/>
      <c r="I39" s="2">
        <v>675000</v>
      </c>
      <c r="J39" s="2">
        <v>0</v>
      </c>
    </row>
    <row r="40" spans="1:10" x14ac:dyDescent="0.25">
      <c r="A40" s="1" t="s">
        <v>132</v>
      </c>
      <c r="B40" s="1" t="s">
        <v>133</v>
      </c>
      <c r="C40" s="1" t="s">
        <v>108</v>
      </c>
      <c r="D40" s="1" t="s">
        <v>109</v>
      </c>
      <c r="E40" s="1" t="s">
        <v>108</v>
      </c>
      <c r="F40" s="30"/>
      <c r="I40" s="2">
        <v>375000</v>
      </c>
      <c r="J40" s="2">
        <v>0</v>
      </c>
    </row>
    <row r="41" spans="1:10" x14ac:dyDescent="0.25">
      <c r="A41" s="1" t="s">
        <v>132</v>
      </c>
      <c r="B41" s="1" t="s">
        <v>133</v>
      </c>
      <c r="C41" s="1" t="s">
        <v>110</v>
      </c>
      <c r="D41" s="1" t="s">
        <v>111</v>
      </c>
      <c r="E41" s="1" t="s">
        <v>112</v>
      </c>
      <c r="F41" s="30">
        <v>2801</v>
      </c>
      <c r="I41" s="2">
        <v>0</v>
      </c>
      <c r="J41" s="2">
        <v>14780</v>
      </c>
    </row>
    <row r="42" spans="1:10" x14ac:dyDescent="0.25">
      <c r="A42" s="1" t="s">
        <v>132</v>
      </c>
      <c r="B42" s="1" t="s">
        <v>133</v>
      </c>
      <c r="C42" s="1" t="s">
        <v>113</v>
      </c>
      <c r="D42" s="1" t="s">
        <v>111</v>
      </c>
      <c r="E42" s="1" t="s">
        <v>112</v>
      </c>
      <c r="F42" s="30">
        <v>2803</v>
      </c>
      <c r="I42" s="2">
        <v>0</v>
      </c>
      <c r="J42" s="2">
        <v>54000</v>
      </c>
    </row>
    <row r="43" spans="1:10" x14ac:dyDescent="0.25">
      <c r="A43" s="1" t="s">
        <v>132</v>
      </c>
      <c r="B43" s="1" t="s">
        <v>133</v>
      </c>
      <c r="C43" s="1" t="s">
        <v>114</v>
      </c>
      <c r="D43" s="1" t="s">
        <v>111</v>
      </c>
      <c r="E43" s="1" t="s">
        <v>112</v>
      </c>
      <c r="F43" s="30">
        <v>2806</v>
      </c>
      <c r="I43" s="2">
        <v>0</v>
      </c>
      <c r="J43" s="2">
        <v>1960</v>
      </c>
    </row>
    <row r="44" spans="1:10" x14ac:dyDescent="0.25">
      <c r="A44" s="1" t="s">
        <v>132</v>
      </c>
      <c r="B44" s="1" t="s">
        <v>133</v>
      </c>
      <c r="C44" s="1" t="s">
        <v>115</v>
      </c>
      <c r="D44" s="1" t="s">
        <v>111</v>
      </c>
      <c r="E44" s="1" t="s">
        <v>112</v>
      </c>
      <c r="F44" s="30">
        <v>2811</v>
      </c>
      <c r="I44" s="2">
        <v>0</v>
      </c>
      <c r="J44" s="2">
        <v>5200</v>
      </c>
    </row>
    <row r="45" spans="1:10" x14ac:dyDescent="0.25">
      <c r="A45" s="1" t="s">
        <v>132</v>
      </c>
      <c r="B45" s="1" t="s">
        <v>133</v>
      </c>
      <c r="C45" s="1" t="s">
        <v>116</v>
      </c>
      <c r="D45" s="1" t="s">
        <v>111</v>
      </c>
      <c r="E45" s="1" t="s">
        <v>112</v>
      </c>
      <c r="F45" s="30">
        <v>2813</v>
      </c>
      <c r="I45" s="2">
        <v>0</v>
      </c>
      <c r="J45" s="2">
        <v>8740</v>
      </c>
    </row>
    <row r="46" spans="1:10" x14ac:dyDescent="0.25">
      <c r="A46" s="1" t="s">
        <v>132</v>
      </c>
      <c r="B46" s="1" t="s">
        <v>133</v>
      </c>
      <c r="C46" s="1" t="s">
        <v>137</v>
      </c>
      <c r="D46" s="1" t="s">
        <v>111</v>
      </c>
      <c r="E46" s="1" t="s">
        <v>138</v>
      </c>
      <c r="F46" s="30">
        <v>2820</v>
      </c>
      <c r="I46" s="2">
        <v>0</v>
      </c>
      <c r="J46" s="2">
        <v>5200</v>
      </c>
    </row>
    <row r="47" spans="1:10" x14ac:dyDescent="0.25">
      <c r="A47" s="1" t="s">
        <v>132</v>
      </c>
      <c r="B47" s="1" t="s">
        <v>133</v>
      </c>
      <c r="C47" s="1" t="s">
        <v>117</v>
      </c>
      <c r="D47" s="1" t="s">
        <v>118</v>
      </c>
      <c r="E47" s="1" t="s">
        <v>119</v>
      </c>
      <c r="F47" s="31" t="s">
        <v>117</v>
      </c>
      <c r="I47" s="2">
        <v>0</v>
      </c>
      <c r="J47" s="2">
        <v>7000</v>
      </c>
    </row>
    <row r="48" spans="1:10" x14ac:dyDescent="0.25">
      <c r="A48" s="1" t="s">
        <v>132</v>
      </c>
      <c r="B48" s="1" t="s">
        <v>133</v>
      </c>
      <c r="C48" s="1" t="s">
        <v>120</v>
      </c>
      <c r="D48" s="1" t="s">
        <v>118</v>
      </c>
      <c r="E48" s="1" t="s">
        <v>119</v>
      </c>
      <c r="F48" s="31" t="s">
        <v>120</v>
      </c>
      <c r="I48" s="2">
        <v>0</v>
      </c>
      <c r="J48" s="2">
        <v>5890</v>
      </c>
    </row>
    <row r="49" spans="1:10" x14ac:dyDescent="0.25">
      <c r="A49" s="1" t="s">
        <v>132</v>
      </c>
      <c r="B49" s="1" t="s">
        <v>133</v>
      </c>
      <c r="C49" s="1" t="s">
        <v>121</v>
      </c>
      <c r="D49" s="1" t="s">
        <v>118</v>
      </c>
      <c r="E49" s="1" t="s">
        <v>119</v>
      </c>
      <c r="F49" s="31" t="s">
        <v>121</v>
      </c>
      <c r="I49" s="2">
        <v>0</v>
      </c>
      <c r="J49" s="2">
        <v>12000</v>
      </c>
    </row>
    <row r="50" spans="1:10" x14ac:dyDescent="0.25">
      <c r="A50" s="1" t="s">
        <v>132</v>
      </c>
      <c r="B50" s="1" t="s">
        <v>133</v>
      </c>
      <c r="C50" s="1" t="s">
        <v>122</v>
      </c>
      <c r="D50" s="1" t="s">
        <v>118</v>
      </c>
      <c r="E50" s="1" t="s">
        <v>123</v>
      </c>
      <c r="F50" s="31" t="s">
        <v>122</v>
      </c>
      <c r="I50" s="2">
        <v>0</v>
      </c>
      <c r="J50" s="2">
        <v>1400</v>
      </c>
    </row>
    <row r="51" spans="1:10" x14ac:dyDescent="0.25">
      <c r="A51" s="1" t="s">
        <v>132</v>
      </c>
      <c r="B51" s="1" t="s">
        <v>133</v>
      </c>
      <c r="C51" s="1" t="s">
        <v>124</v>
      </c>
      <c r="D51" s="1" t="s">
        <v>118</v>
      </c>
      <c r="E51" s="1" t="s">
        <v>123</v>
      </c>
      <c r="F51" s="31" t="s">
        <v>124</v>
      </c>
      <c r="I51" s="2">
        <v>0</v>
      </c>
      <c r="J51" s="2">
        <v>2890</v>
      </c>
    </row>
    <row r="52" spans="1:10" x14ac:dyDescent="0.25">
      <c r="A52" s="1" t="s">
        <v>132</v>
      </c>
      <c r="B52" s="1" t="s">
        <v>133</v>
      </c>
      <c r="C52" s="1" t="s">
        <v>139</v>
      </c>
      <c r="D52" s="1" t="s">
        <v>118</v>
      </c>
      <c r="E52" s="1" t="s">
        <v>140</v>
      </c>
      <c r="F52" s="30">
        <v>2920</v>
      </c>
      <c r="I52" s="2">
        <v>0</v>
      </c>
      <c r="J52" s="2">
        <v>890</v>
      </c>
    </row>
    <row r="53" spans="1:10" x14ac:dyDescent="0.25">
      <c r="A53" s="1" t="s">
        <v>132</v>
      </c>
      <c r="B53" s="1" t="s">
        <v>133</v>
      </c>
      <c r="C53" s="1" t="s">
        <v>125</v>
      </c>
      <c r="D53" s="1" t="s">
        <v>118</v>
      </c>
      <c r="E53" s="1" t="s">
        <v>126</v>
      </c>
      <c r="F53" s="31" t="s">
        <v>125</v>
      </c>
      <c r="I53" s="2">
        <v>0</v>
      </c>
      <c r="J53" s="2">
        <v>1630</v>
      </c>
    </row>
    <row r="54" spans="1:10" x14ac:dyDescent="0.25">
      <c r="A54" s="1" t="s">
        <v>132</v>
      </c>
      <c r="B54" s="1" t="s">
        <v>133</v>
      </c>
      <c r="C54" s="1" t="s">
        <v>127</v>
      </c>
      <c r="D54" s="1" t="s">
        <v>118</v>
      </c>
      <c r="E54" s="1" t="s">
        <v>128</v>
      </c>
      <c r="F54" s="31" t="s">
        <v>127</v>
      </c>
      <c r="I54" s="2">
        <v>0</v>
      </c>
      <c r="J54" s="2">
        <v>5800</v>
      </c>
    </row>
    <row r="55" spans="1:10" x14ac:dyDescent="0.25">
      <c r="A55" s="1" t="s">
        <v>132</v>
      </c>
      <c r="B55" s="1" t="s">
        <v>133</v>
      </c>
      <c r="C55" s="1" t="s">
        <v>129</v>
      </c>
      <c r="D55" s="1" t="s">
        <v>118</v>
      </c>
      <c r="E55" s="1" t="s">
        <v>128</v>
      </c>
      <c r="F55" s="31" t="s">
        <v>129</v>
      </c>
      <c r="I55" s="2">
        <v>0</v>
      </c>
      <c r="J55" s="2">
        <v>14000</v>
      </c>
    </row>
    <row r="56" spans="1:10" x14ac:dyDescent="0.25">
      <c r="A56" s="1" t="s">
        <v>132</v>
      </c>
      <c r="B56" s="1" t="s">
        <v>133</v>
      </c>
      <c r="C56" s="1" t="s">
        <v>130</v>
      </c>
      <c r="D56" s="1" t="s">
        <v>118</v>
      </c>
      <c r="E56" s="1" t="s">
        <v>131</v>
      </c>
      <c r="F56" s="31" t="s">
        <v>130</v>
      </c>
      <c r="I56" s="2">
        <v>0</v>
      </c>
      <c r="J56" s="2">
        <v>18900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11 Immo, amo, dépréciat</vt:lpstr>
      <vt:lpstr>Donnees</vt:lpstr>
      <vt:lpstr>'Tableau 11 Immo, amo, dépréciat'!Zone_d_impression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2014-04-23T08:43:14Z</cp:lastPrinted>
  <dcterms:created xsi:type="dcterms:W3CDTF">2014-02-20T13:17:14Z</dcterms:created>
  <dcterms:modified xsi:type="dcterms:W3CDTF">2015-11-10T10:21:31Z</dcterms:modified>
</cp:coreProperties>
</file>